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data\Sync\Document\社馬連\2019年度\キャロット\エントリーフォーム\"/>
    </mc:Choice>
  </mc:AlternateContent>
  <xr:revisionPtr revIDLastSave="0" documentId="13_ncr:1_{AE9E8B12-590B-4C4F-BBE3-B0070A10E227}" xr6:coauthVersionLast="44" xr6:coauthVersionMax="44" xr10:uidLastSave="{00000000-0000-0000-0000-000000000000}"/>
  <workbookProtection workbookAlgorithmName="SHA-512" workbookHashValue="70CZx0XuojdxLbIpV0ShSH6tn9VH21mW8SYu2L3phgICu9cRm2cAY7DaK1v3nNgcRq6RUhdilio1r+7B/Hio2w==" workbookSaltValue="GTfKdTvcFS/TxqB/9WbsvA==" workbookSpinCount="100000" lockStructure="1"/>
  <bookViews>
    <workbookView xWindow="-120" yWindow="-120" windowWidth="29040" windowHeight="15990" tabRatio="739" xr2:uid="{00000000-000D-0000-FFFF-FFFF00000000}"/>
  </bookViews>
  <sheets>
    <sheet name="お知らせ・記入要領" sheetId="1" r:id="rId1"/>
    <sheet name="競技一覧" sheetId="2" r:id="rId2"/>
    <sheet name="団体登録" sheetId="3" r:id="rId3"/>
    <sheet name="選手登録" sheetId="4" r:id="rId4"/>
    <sheet name="馬匹登録" sheetId="5" r:id="rId5"/>
    <sheet name="エントリー" sheetId="6" r:id="rId6"/>
    <sheet name="変更申込み" sheetId="8" r:id="rId7"/>
    <sheet name="馬管理者棟" sheetId="9" r:id="rId8"/>
    <sheet name="入厩届" sheetId="14" r:id="rId9"/>
    <sheet name="委任状" sheetId="15" r:id="rId10"/>
    <sheet name="設定" sheetId="16" state="hidden" r:id="rId11"/>
    <sheet name="リスト" sheetId="10" state="hidden" r:id="rId12"/>
  </sheets>
  <definedNames>
    <definedName name="_xlnm.Print_Area" localSheetId="5">エントリー!$A$1:$L$85</definedName>
    <definedName name="_xlnm.Print_Area" localSheetId="11">リスト!$A$1:$B$1</definedName>
    <definedName name="_xlnm.Print_Area" localSheetId="9">委任状!$A$5:$H$29</definedName>
    <definedName name="_xlnm.Print_Area" localSheetId="1">競技一覧!$A$1:$L$50</definedName>
    <definedName name="_xlnm.Print_Area" localSheetId="3">選手登録!$A$1:$I$33</definedName>
    <definedName name="_xlnm.Print_Area" localSheetId="2">団体登録!$A$1:$J$27</definedName>
    <definedName name="_xlnm.Print_Area" localSheetId="8">入厩届!$A$2:$M$121</definedName>
    <definedName name="_xlnm.Print_Area" localSheetId="7">馬管理者棟!$A$1:$K$21</definedName>
    <definedName name="_xlnm.Print_Area" localSheetId="4">馬匹登録!$A$1:$D$32</definedName>
    <definedName name="_xlnm.Print_Area" localSheetId="6">変更申込み!$A$1:$P$54</definedName>
    <definedName name="_xlnm.Print_Titles" localSheetId="5">エントリー!$1:$5</definedName>
    <definedName name="_xlnm.Print_Titles" localSheetId="1">競技一覧!$3:$4</definedName>
    <definedName name="_xlnm.Print_Titles" localSheetId="3">選手登録!$1:$6</definedName>
    <definedName name="_xlnm.Print_Titles" localSheetId="6">変更申込み!$1:$14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0" i="1" l="1"/>
  <c r="X53" i="8" l="1"/>
  <c r="X51" i="8"/>
  <c r="X49" i="8"/>
  <c r="X47" i="8"/>
  <c r="X45" i="8"/>
  <c r="X43" i="8"/>
  <c r="X41" i="8"/>
  <c r="X39" i="8"/>
  <c r="X37" i="8"/>
  <c r="X35" i="8"/>
  <c r="X33" i="8"/>
  <c r="X31" i="8"/>
  <c r="X29" i="8"/>
  <c r="X27" i="8"/>
  <c r="X25" i="8"/>
  <c r="X23" i="8"/>
  <c r="X21" i="8"/>
  <c r="X19" i="8"/>
  <c r="X17" i="8"/>
  <c r="X15" i="8"/>
  <c r="U53" i="8"/>
  <c r="U51" i="8"/>
  <c r="U49" i="8"/>
  <c r="U47" i="8"/>
  <c r="U45" i="8"/>
  <c r="U43" i="8"/>
  <c r="U41" i="8"/>
  <c r="U39" i="8"/>
  <c r="U37" i="8"/>
  <c r="U35" i="8"/>
  <c r="U33" i="8"/>
  <c r="U31" i="8"/>
  <c r="U29" i="8"/>
  <c r="U27" i="8"/>
  <c r="U25" i="8"/>
  <c r="U23" i="8"/>
  <c r="U21" i="8"/>
  <c r="U19" i="8"/>
  <c r="U17" i="8"/>
  <c r="E11" i="10" l="1"/>
  <c r="G11" i="10"/>
  <c r="F11" i="10"/>
  <c r="A18" i="1" l="1"/>
  <c r="A1" i="1" l="1"/>
  <c r="A1" i="5" s="1"/>
  <c r="A1" i="6" l="1"/>
  <c r="A1" i="8"/>
  <c r="A1" i="3"/>
  <c r="A1" i="4"/>
  <c r="C14" i="9"/>
  <c r="H19" i="3"/>
  <c r="P5" i="8"/>
  <c r="A8" i="8"/>
  <c r="A4" i="15" l="1"/>
  <c r="A3" i="15"/>
  <c r="A2" i="15"/>
  <c r="AW16" i="8" l="1"/>
  <c r="AW17" i="8"/>
  <c r="AW18" i="8"/>
  <c r="AW19" i="8"/>
  <c r="AW20" i="8"/>
  <c r="AW21" i="8"/>
  <c r="AW22" i="8"/>
  <c r="AW23" i="8"/>
  <c r="AW24" i="8"/>
  <c r="AW25" i="8"/>
  <c r="AW26" i="8"/>
  <c r="AW27" i="8"/>
  <c r="AW28" i="8"/>
  <c r="AW29" i="8"/>
  <c r="AW30" i="8"/>
  <c r="AW31" i="8"/>
  <c r="AW32" i="8"/>
  <c r="AW33" i="8"/>
  <c r="AW34" i="8"/>
  <c r="AW35" i="8"/>
  <c r="AW36" i="8"/>
  <c r="AW37" i="8"/>
  <c r="AW38" i="8"/>
  <c r="AW39" i="8"/>
  <c r="AW40" i="8"/>
  <c r="AW41" i="8"/>
  <c r="AW42" i="8"/>
  <c r="AW43" i="8"/>
  <c r="AW44" i="8"/>
  <c r="AW45" i="8"/>
  <c r="AW46" i="8"/>
  <c r="AW47" i="8"/>
  <c r="AW48" i="8"/>
  <c r="AW49" i="8"/>
  <c r="AW50" i="8"/>
  <c r="AW51" i="8"/>
  <c r="AW52" i="8"/>
  <c r="AW53" i="8"/>
  <c r="AW54" i="8"/>
  <c r="AW15" i="8"/>
  <c r="N53" i="8"/>
  <c r="N51" i="8"/>
  <c r="N49" i="8"/>
  <c r="N47" i="8"/>
  <c r="N45" i="8"/>
  <c r="N43" i="8"/>
  <c r="N41" i="8"/>
  <c r="N39" i="8"/>
  <c r="N37" i="8"/>
  <c r="N35" i="8"/>
  <c r="N33" i="8"/>
  <c r="N31" i="8"/>
  <c r="N29" i="8"/>
  <c r="N27" i="8"/>
  <c r="N25" i="8"/>
  <c r="N23" i="8"/>
  <c r="N21" i="8"/>
  <c r="N19" i="8"/>
  <c r="S85" i="6" l="1"/>
  <c r="Q85" i="6"/>
  <c r="S84" i="6"/>
  <c r="Q84" i="6"/>
  <c r="S83" i="6"/>
  <c r="Q83" i="6"/>
  <c r="S82" i="6"/>
  <c r="Q82" i="6"/>
  <c r="S81" i="6"/>
  <c r="Q81" i="6"/>
  <c r="S80" i="6"/>
  <c r="Q80" i="6"/>
  <c r="S79" i="6"/>
  <c r="Q79" i="6"/>
  <c r="S78" i="6"/>
  <c r="Q78" i="6"/>
  <c r="S77" i="6"/>
  <c r="Q77" i="6"/>
  <c r="S76" i="6"/>
  <c r="Q76" i="6"/>
  <c r="S75" i="6"/>
  <c r="Q75" i="6"/>
  <c r="S74" i="6"/>
  <c r="Q74" i="6"/>
  <c r="S73" i="6"/>
  <c r="Q73" i="6"/>
  <c r="S72" i="6"/>
  <c r="Q72" i="6"/>
  <c r="S71" i="6"/>
  <c r="Q71" i="6"/>
  <c r="S70" i="6"/>
  <c r="Q70" i="6"/>
  <c r="S69" i="6"/>
  <c r="Q69" i="6"/>
  <c r="S68" i="6"/>
  <c r="Q68" i="6"/>
  <c r="S67" i="6"/>
  <c r="Q67" i="6"/>
  <c r="S66" i="6"/>
  <c r="Q66" i="6"/>
  <c r="S65" i="6"/>
  <c r="Q65" i="6"/>
  <c r="S64" i="6"/>
  <c r="Q64" i="6"/>
  <c r="S63" i="6"/>
  <c r="Q63" i="6"/>
  <c r="S62" i="6"/>
  <c r="Q62" i="6"/>
  <c r="S61" i="6"/>
  <c r="Q61" i="6"/>
  <c r="S60" i="6"/>
  <c r="Q60" i="6"/>
  <c r="S59" i="6"/>
  <c r="Q59" i="6"/>
  <c r="S58" i="6"/>
  <c r="Q58" i="6"/>
  <c r="S57" i="6"/>
  <c r="Q57" i="6"/>
  <c r="S56" i="6"/>
  <c r="Q56" i="6"/>
  <c r="S55" i="6"/>
  <c r="Q55" i="6"/>
  <c r="S54" i="6"/>
  <c r="Q54" i="6"/>
  <c r="S53" i="6"/>
  <c r="Q53" i="6"/>
  <c r="S52" i="6"/>
  <c r="Q52" i="6"/>
  <c r="S51" i="6"/>
  <c r="Q51" i="6"/>
  <c r="S50" i="6"/>
  <c r="Q50" i="6"/>
  <c r="S49" i="6"/>
  <c r="Q49" i="6"/>
  <c r="S48" i="6"/>
  <c r="Q48" i="6"/>
  <c r="S47" i="6"/>
  <c r="Q47" i="6"/>
  <c r="S46" i="6"/>
  <c r="Q46" i="6"/>
  <c r="S45" i="6"/>
  <c r="Q45" i="6"/>
  <c r="S44" i="6"/>
  <c r="Q44" i="6"/>
  <c r="S43" i="6"/>
  <c r="Q43" i="6"/>
  <c r="S42" i="6"/>
  <c r="Q42" i="6"/>
  <c r="S41" i="6"/>
  <c r="Q41" i="6"/>
  <c r="S40" i="6"/>
  <c r="Q40" i="6"/>
  <c r="S39" i="6"/>
  <c r="Q39" i="6"/>
  <c r="S38" i="6"/>
  <c r="Q38" i="6"/>
  <c r="S37" i="6"/>
  <c r="Q37" i="6"/>
  <c r="S36" i="6"/>
  <c r="Q36" i="6"/>
  <c r="S35" i="6"/>
  <c r="Q35" i="6"/>
  <c r="S34" i="6"/>
  <c r="Q34" i="6"/>
  <c r="S33" i="6"/>
  <c r="Q33" i="6"/>
  <c r="S32" i="6"/>
  <c r="Q32" i="6"/>
  <c r="S31" i="6"/>
  <c r="Q31" i="6"/>
  <c r="S30" i="6"/>
  <c r="Q30" i="6"/>
  <c r="S29" i="6"/>
  <c r="Q29" i="6"/>
  <c r="S28" i="6"/>
  <c r="Q28" i="6"/>
  <c r="S27" i="6"/>
  <c r="Q27" i="6"/>
  <c r="S26" i="6"/>
  <c r="Q26" i="6"/>
  <c r="S25" i="6"/>
  <c r="Q25" i="6"/>
  <c r="S24" i="6"/>
  <c r="Q24" i="6"/>
  <c r="S23" i="6"/>
  <c r="Q23" i="6"/>
  <c r="S22" i="6"/>
  <c r="Q22" i="6"/>
  <c r="S21" i="6"/>
  <c r="Q21" i="6"/>
  <c r="S20" i="6"/>
  <c r="Q20" i="6"/>
  <c r="S19" i="6"/>
  <c r="Q19" i="6"/>
  <c r="S18" i="6"/>
  <c r="Q18" i="6"/>
  <c r="S17" i="6"/>
  <c r="Q17" i="6"/>
  <c r="S16" i="6"/>
  <c r="Q16" i="6"/>
  <c r="S15" i="6"/>
  <c r="Q15" i="6"/>
  <c r="S14" i="6"/>
  <c r="Q14" i="6"/>
  <c r="S13" i="6"/>
  <c r="Q13" i="6"/>
  <c r="S12" i="6"/>
  <c r="Q12" i="6"/>
  <c r="S11" i="6"/>
  <c r="Q11" i="6"/>
  <c r="S10" i="6"/>
  <c r="Q10" i="6"/>
  <c r="S9" i="6"/>
  <c r="Q9" i="6"/>
  <c r="S8" i="6"/>
  <c r="Q8" i="6"/>
  <c r="S7" i="6"/>
  <c r="Q7" i="6"/>
  <c r="AU2" i="3" l="1"/>
  <c r="A1" i="9" l="1"/>
  <c r="A1" i="2"/>
  <c r="AA47" i="2" l="1"/>
  <c r="T47" i="2"/>
  <c r="S47" i="2"/>
  <c r="P47" i="2" s="1"/>
  <c r="G47" i="2"/>
  <c r="F47" i="2"/>
  <c r="E47" i="2"/>
  <c r="D47" i="2"/>
  <c r="C47" i="2"/>
  <c r="B47" i="2"/>
  <c r="K79" i="14" l="1"/>
  <c r="K119" i="14"/>
  <c r="K39" i="14"/>
  <c r="O34" i="5"/>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6" i="6"/>
  <c r="AA48" i="2"/>
  <c r="AA46" i="2"/>
  <c r="AA45" i="2"/>
  <c r="AA44" i="2"/>
  <c r="AA43" i="2"/>
  <c r="AA42" i="2"/>
  <c r="E85" i="6"/>
  <c r="C85" i="6"/>
  <c r="E84" i="6"/>
  <c r="C84" i="6"/>
  <c r="E83" i="6"/>
  <c r="C83" i="6"/>
  <c r="E82" i="6"/>
  <c r="C82" i="6"/>
  <c r="E81" i="6"/>
  <c r="C81" i="6"/>
  <c r="E80" i="6"/>
  <c r="C80" i="6"/>
  <c r="E79" i="6"/>
  <c r="C79" i="6"/>
  <c r="E78" i="6"/>
  <c r="C78" i="6"/>
  <c r="E77" i="6"/>
  <c r="C77" i="6"/>
  <c r="E76" i="6"/>
  <c r="C76" i="6"/>
  <c r="E75" i="6"/>
  <c r="C75" i="6"/>
  <c r="E74" i="6"/>
  <c r="C74" i="6"/>
  <c r="E73" i="6"/>
  <c r="C73" i="6"/>
  <c r="E72" i="6"/>
  <c r="C72" i="6"/>
  <c r="E71" i="6"/>
  <c r="C71" i="6"/>
  <c r="E70" i="6"/>
  <c r="C70" i="6"/>
  <c r="E69" i="6"/>
  <c r="C69" i="6"/>
  <c r="E68" i="6"/>
  <c r="C68" i="6"/>
  <c r="E67" i="6"/>
  <c r="C67" i="6"/>
  <c r="E66" i="6"/>
  <c r="C66" i="6"/>
  <c r="E65" i="6"/>
  <c r="C65" i="6"/>
  <c r="E64" i="6"/>
  <c r="C64" i="6"/>
  <c r="E63" i="6"/>
  <c r="C63" i="6"/>
  <c r="E62" i="6"/>
  <c r="C62" i="6"/>
  <c r="E61" i="6"/>
  <c r="C61" i="6"/>
  <c r="E60" i="6"/>
  <c r="C60" i="6"/>
  <c r="E59" i="6"/>
  <c r="C59" i="6"/>
  <c r="E58" i="6"/>
  <c r="C58" i="6"/>
  <c r="E57" i="6"/>
  <c r="C57" i="6"/>
  <c r="E56" i="6"/>
  <c r="C56" i="6"/>
  <c r="E55" i="6"/>
  <c r="C55" i="6"/>
  <c r="E54" i="6"/>
  <c r="C54" i="6"/>
  <c r="E53" i="6"/>
  <c r="C53" i="6"/>
  <c r="E52" i="6"/>
  <c r="C52" i="6"/>
  <c r="E51" i="6"/>
  <c r="C51" i="6"/>
  <c r="E50" i="6"/>
  <c r="C50" i="6"/>
  <c r="E49" i="6"/>
  <c r="C49" i="6"/>
  <c r="E48" i="6"/>
  <c r="C48" i="6"/>
  <c r="E47" i="6"/>
  <c r="C47" i="6"/>
  <c r="E46" i="6"/>
  <c r="C46" i="6"/>
  <c r="E45" i="6"/>
  <c r="C45" i="6"/>
  <c r="E44" i="6"/>
  <c r="C44" i="6"/>
  <c r="E43" i="6"/>
  <c r="C43" i="6"/>
  <c r="E42" i="6"/>
  <c r="C42" i="6"/>
  <c r="E41" i="6"/>
  <c r="C41" i="6"/>
  <c r="E40" i="6"/>
  <c r="C40" i="6"/>
  <c r="E39" i="6"/>
  <c r="C39" i="6"/>
  <c r="E38" i="6"/>
  <c r="C38" i="6"/>
  <c r="E37" i="6"/>
  <c r="C37" i="6"/>
  <c r="E36" i="6"/>
  <c r="C36" i="6"/>
  <c r="E35" i="6"/>
  <c r="C35" i="6"/>
  <c r="E34" i="6"/>
  <c r="C34" i="6"/>
  <c r="E33" i="6"/>
  <c r="C33" i="6"/>
  <c r="E32" i="6"/>
  <c r="C32" i="6"/>
  <c r="E31" i="6"/>
  <c r="C31" i="6"/>
  <c r="E30" i="6"/>
  <c r="C30" i="6"/>
  <c r="E29" i="6"/>
  <c r="C29" i="6"/>
  <c r="E28" i="6"/>
  <c r="C28" i="6"/>
  <c r="E27" i="6"/>
  <c r="C27" i="6"/>
  <c r="E26" i="6"/>
  <c r="C26" i="6"/>
  <c r="E25" i="6"/>
  <c r="C25" i="6"/>
  <c r="AA36" i="2"/>
  <c r="AA35" i="2"/>
  <c r="AA34" i="2"/>
  <c r="AA33" i="2"/>
  <c r="AA32" i="2"/>
  <c r="AA31" i="2"/>
  <c r="AA30" i="2"/>
  <c r="AA29" i="2"/>
  <c r="AA27" i="2"/>
  <c r="AA23" i="2"/>
  <c r="AA22" i="2"/>
  <c r="AA21" i="2"/>
  <c r="AA20" i="2"/>
  <c r="AA19" i="2"/>
  <c r="AA18" i="2"/>
  <c r="AA17" i="2"/>
  <c r="AA16" i="2"/>
  <c r="AA15" i="2"/>
  <c r="AA14" i="2"/>
  <c r="AA13" i="2"/>
  <c r="AA12" i="2"/>
  <c r="AA11" i="2"/>
  <c r="AA10" i="2"/>
  <c r="AA9" i="2"/>
  <c r="AA8" i="2"/>
  <c r="AA28" i="2"/>
  <c r="AA39" i="2"/>
  <c r="AA41" i="2"/>
  <c r="AA50" i="2"/>
  <c r="AA49" i="2"/>
  <c r="AA25" i="2"/>
  <c r="AA24" i="2"/>
  <c r="AA37" i="2"/>
  <c r="AA26" i="2"/>
  <c r="AA7" i="2"/>
  <c r="AA40" i="2"/>
  <c r="AA38" i="2"/>
  <c r="AA6" i="2"/>
  <c r="AA5" i="2"/>
  <c r="Y36" i="4"/>
  <c r="F4" i="5"/>
  <c r="I19" i="3" s="1"/>
  <c r="J21" i="3"/>
  <c r="L3" i="6"/>
  <c r="BH16" i="8"/>
  <c r="BH17" i="8"/>
  <c r="BH18" i="8"/>
  <c r="BH19" i="8"/>
  <c r="BH20" i="8"/>
  <c r="BH21" i="8"/>
  <c r="BH22" i="8"/>
  <c r="BH23" i="8"/>
  <c r="BH24" i="8"/>
  <c r="BH25" i="8"/>
  <c r="BH26" i="8"/>
  <c r="BH27" i="8"/>
  <c r="BH28" i="8"/>
  <c r="BH29" i="8"/>
  <c r="BH30" i="8"/>
  <c r="BH31" i="8"/>
  <c r="BH32" i="8"/>
  <c r="BH33" i="8"/>
  <c r="BH34" i="8"/>
  <c r="BH35" i="8"/>
  <c r="BH36" i="8"/>
  <c r="BH37" i="8"/>
  <c r="BH38" i="8"/>
  <c r="BH39" i="8"/>
  <c r="BH40" i="8"/>
  <c r="BH41" i="8"/>
  <c r="BH42" i="8"/>
  <c r="BH43" i="8"/>
  <c r="BH44" i="8"/>
  <c r="BH45" i="8"/>
  <c r="BH46" i="8"/>
  <c r="BH47" i="8"/>
  <c r="BH48" i="8"/>
  <c r="BH49" i="8"/>
  <c r="BH50" i="8"/>
  <c r="BH51" i="8"/>
  <c r="BH52" i="8"/>
  <c r="BH53" i="8"/>
  <c r="BH54" i="8"/>
  <c r="BH15" i="8"/>
  <c r="BB20" i="8"/>
  <c r="BB21" i="8"/>
  <c r="BB22" i="8"/>
  <c r="BB23" i="8"/>
  <c r="BB24" i="8"/>
  <c r="BB25" i="8"/>
  <c r="BB26" i="8"/>
  <c r="BB27" i="8"/>
  <c r="BB28" i="8"/>
  <c r="BB29" i="8"/>
  <c r="BB30" i="8"/>
  <c r="BB31" i="8"/>
  <c r="BB32" i="8"/>
  <c r="BB33" i="8"/>
  <c r="BB34" i="8"/>
  <c r="BB35" i="8"/>
  <c r="BB36" i="8"/>
  <c r="BB37" i="8"/>
  <c r="BB38" i="8"/>
  <c r="BB39" i="8"/>
  <c r="BB40" i="8"/>
  <c r="BB41" i="8"/>
  <c r="BB42" i="8"/>
  <c r="BB43" i="8"/>
  <c r="BB44" i="8"/>
  <c r="BB45" i="8"/>
  <c r="BB46" i="8"/>
  <c r="BB47" i="8"/>
  <c r="BB48" i="8"/>
  <c r="BB49" i="8"/>
  <c r="BB50" i="8"/>
  <c r="BB51" i="8"/>
  <c r="BB52" i="8"/>
  <c r="BB53" i="8"/>
  <c r="BB54" i="8"/>
  <c r="BB16" i="8"/>
  <c r="BB17" i="8"/>
  <c r="BB18" i="8"/>
  <c r="BB19" i="8"/>
  <c r="BB15" i="8"/>
  <c r="BA16" i="8"/>
  <c r="BA18" i="8"/>
  <c r="BA20" i="8"/>
  <c r="BA22" i="8"/>
  <c r="BA24" i="8"/>
  <c r="BA26" i="8"/>
  <c r="BA28" i="8"/>
  <c r="BA30" i="8"/>
  <c r="BA32" i="8"/>
  <c r="BA34" i="8"/>
  <c r="BA36" i="8"/>
  <c r="BA38" i="8"/>
  <c r="BA40" i="8"/>
  <c r="BA42" i="8"/>
  <c r="BA44" i="8"/>
  <c r="BA46" i="8"/>
  <c r="BA48" i="8"/>
  <c r="BA50" i="8"/>
  <c r="BA52" i="8"/>
  <c r="BA54" i="8"/>
  <c r="AU54" i="8"/>
  <c r="AL18" i="8"/>
  <c r="AL19" i="8"/>
  <c r="AL20" i="8"/>
  <c r="AM21" i="8"/>
  <c r="AM22" i="8"/>
  <c r="AL24" i="8"/>
  <c r="AM24" i="8"/>
  <c r="AL28" i="8"/>
  <c r="AM28" i="8"/>
  <c r="AL29" i="8"/>
  <c r="AL30" i="8"/>
  <c r="AM30" i="8"/>
  <c r="AL31" i="8"/>
  <c r="AM31" i="8"/>
  <c r="AL32" i="8"/>
  <c r="AM32" i="8"/>
  <c r="AL33" i="8"/>
  <c r="AM33" i="8"/>
  <c r="AL34" i="8"/>
  <c r="AM34" i="8"/>
  <c r="AL35" i="8"/>
  <c r="AM35" i="8"/>
  <c r="AL36" i="8"/>
  <c r="AM36" i="8"/>
  <c r="AM37" i="8"/>
  <c r="AL38" i="8"/>
  <c r="AM38" i="8"/>
  <c r="AL39" i="8"/>
  <c r="AL40" i="8"/>
  <c r="AL41" i="8"/>
  <c r="AM41" i="8"/>
  <c r="AM42" i="8"/>
  <c r="AL43" i="8"/>
  <c r="AM43" i="8"/>
  <c r="AL44" i="8"/>
  <c r="AM44" i="8"/>
  <c r="AL45" i="8"/>
  <c r="AM45" i="8"/>
  <c r="AL46" i="8"/>
  <c r="AM46" i="8"/>
  <c r="AL47" i="8"/>
  <c r="AM47" i="8"/>
  <c r="AL48" i="8"/>
  <c r="AM48" i="8"/>
  <c r="AL49" i="8"/>
  <c r="AM49" i="8"/>
  <c r="AL50" i="8"/>
  <c r="AM50" i="8"/>
  <c r="AL51" i="8"/>
  <c r="AM51" i="8"/>
  <c r="AL52" i="8"/>
  <c r="AM52" i="8"/>
  <c r="AL53" i="8"/>
  <c r="AM53" i="8"/>
  <c r="AL54" i="8"/>
  <c r="AM54" i="8"/>
  <c r="E24" i="6"/>
  <c r="E23" i="6"/>
  <c r="E22" i="6"/>
  <c r="E21" i="6"/>
  <c r="E20" i="6"/>
  <c r="E19" i="6"/>
  <c r="E18" i="6"/>
  <c r="E17" i="6"/>
  <c r="E16" i="6"/>
  <c r="E15" i="6"/>
  <c r="E14" i="6"/>
  <c r="E13" i="6"/>
  <c r="E12" i="6"/>
  <c r="E11" i="6"/>
  <c r="G45" i="5"/>
  <c r="I45" i="5"/>
  <c r="G46" i="5"/>
  <c r="I46" i="5"/>
  <c r="G47" i="5"/>
  <c r="I47" i="5"/>
  <c r="G48" i="5"/>
  <c r="I48" i="5"/>
  <c r="G49" i="5"/>
  <c r="I49" i="5"/>
  <c r="G50" i="5"/>
  <c r="I50" i="5"/>
  <c r="G51" i="5"/>
  <c r="I51" i="5"/>
  <c r="G52" i="5"/>
  <c r="I52" i="5"/>
  <c r="G53" i="5"/>
  <c r="I53" i="5"/>
  <c r="G54" i="5"/>
  <c r="I54" i="5"/>
  <c r="AA32" i="4"/>
  <c r="V32" i="4"/>
  <c r="W32" i="4"/>
  <c r="X32" i="4"/>
  <c r="Y32" i="4"/>
  <c r="Z32" i="4"/>
  <c r="AB32" i="4"/>
  <c r="AC32" i="4"/>
  <c r="AD32" i="4"/>
  <c r="AG32" i="4"/>
  <c r="V33" i="4"/>
  <c r="W33" i="4"/>
  <c r="X33" i="4"/>
  <c r="Y33" i="4"/>
  <c r="Z33" i="4"/>
  <c r="AA33" i="4"/>
  <c r="AB33" i="4"/>
  <c r="AC33" i="4"/>
  <c r="AD33" i="4"/>
  <c r="AG33" i="4"/>
  <c r="Z34" i="4"/>
  <c r="V34" i="4"/>
  <c r="W34" i="4"/>
  <c r="X34" i="4"/>
  <c r="Y34" i="4"/>
  <c r="AA34" i="4"/>
  <c r="AB34" i="4"/>
  <c r="AC34" i="4"/>
  <c r="AD34" i="4"/>
  <c r="AG34" i="4"/>
  <c r="V35" i="4"/>
  <c r="W35" i="4"/>
  <c r="Z35" i="4"/>
  <c r="AA35" i="4"/>
  <c r="AB35" i="4"/>
  <c r="AC35" i="4"/>
  <c r="AD35" i="4"/>
  <c r="AG35" i="4"/>
  <c r="Z36" i="4"/>
  <c r="AA36" i="4"/>
  <c r="V36" i="4"/>
  <c r="W36" i="4"/>
  <c r="AB36" i="4"/>
  <c r="AC36" i="4"/>
  <c r="AD36" i="4"/>
  <c r="AG36" i="4"/>
  <c r="O37" i="4"/>
  <c r="U37" i="4"/>
  <c r="O38" i="4"/>
  <c r="U38" i="4"/>
  <c r="O39" i="4"/>
  <c r="U39" i="4"/>
  <c r="O40" i="4"/>
  <c r="U40" i="4"/>
  <c r="O41" i="4"/>
  <c r="U41" i="4"/>
  <c r="O42" i="4"/>
  <c r="U42" i="4"/>
  <c r="O43" i="4"/>
  <c r="U43" i="4"/>
  <c r="O44" i="4"/>
  <c r="U44" i="4"/>
  <c r="O45" i="4"/>
  <c r="U45" i="4"/>
  <c r="O46" i="4"/>
  <c r="U46" i="4"/>
  <c r="O47" i="4"/>
  <c r="U47" i="4"/>
  <c r="O48" i="4"/>
  <c r="U48" i="4"/>
  <c r="O49" i="4"/>
  <c r="U49" i="4"/>
  <c r="O50" i="4"/>
  <c r="U50" i="4"/>
  <c r="O51" i="4"/>
  <c r="U51" i="4"/>
  <c r="O52" i="4"/>
  <c r="U52" i="4"/>
  <c r="O53" i="4"/>
  <c r="U53" i="4"/>
  <c r="O54" i="4"/>
  <c r="U54" i="4"/>
  <c r="O55" i="4"/>
  <c r="U55" i="4"/>
  <c r="O56" i="4"/>
  <c r="U56" i="4"/>
  <c r="AV54" i="8"/>
  <c r="AN54" i="8"/>
  <c r="V54" i="8"/>
  <c r="S54" i="8"/>
  <c r="AN53" i="8"/>
  <c r="V53" i="8"/>
  <c r="AK53" i="8" s="1"/>
  <c r="R53" i="8"/>
  <c r="AV52" i="8"/>
  <c r="AU52" i="8"/>
  <c r="AN52" i="8"/>
  <c r="V52" i="8"/>
  <c r="AK52" i="8" s="1"/>
  <c r="S52" i="8"/>
  <c r="AN51" i="8"/>
  <c r="V51" i="8"/>
  <c r="R51" i="8"/>
  <c r="S51" i="8" s="1"/>
  <c r="AV50" i="8"/>
  <c r="AU50" i="8"/>
  <c r="AN50" i="8"/>
  <c r="V50" i="8"/>
  <c r="S50" i="8"/>
  <c r="AN49" i="8"/>
  <c r="V49" i="8"/>
  <c r="AK49" i="8" s="1"/>
  <c r="R49" i="8"/>
  <c r="AV48" i="8"/>
  <c r="AU48" i="8"/>
  <c r="AN48" i="8"/>
  <c r="V48" i="8"/>
  <c r="AK48" i="8" s="1"/>
  <c r="S48" i="8"/>
  <c r="AN47" i="8"/>
  <c r="V47" i="8"/>
  <c r="AK47" i="8" s="1"/>
  <c r="R47" i="8"/>
  <c r="AV46" i="8"/>
  <c r="AU46" i="8"/>
  <c r="AN46" i="8"/>
  <c r="V46" i="8"/>
  <c r="S46" i="8"/>
  <c r="AN45" i="8"/>
  <c r="V45" i="8"/>
  <c r="R45" i="8"/>
  <c r="AV44" i="8"/>
  <c r="AU44" i="8"/>
  <c r="AN44" i="8"/>
  <c r="V44" i="8"/>
  <c r="AK44" i="8" s="1"/>
  <c r="S44" i="8"/>
  <c r="AN43" i="8"/>
  <c r="V43" i="8"/>
  <c r="R43" i="8"/>
  <c r="AV42" i="8"/>
  <c r="AU42" i="8"/>
  <c r="AN42" i="8"/>
  <c r="V42" i="8"/>
  <c r="AK42" i="8" s="1"/>
  <c r="S42" i="8"/>
  <c r="AN41" i="8"/>
  <c r="V41" i="8"/>
  <c r="R41" i="8"/>
  <c r="AV40" i="8"/>
  <c r="AU40" i="8"/>
  <c r="AN40" i="8"/>
  <c r="V40" i="8"/>
  <c r="AK40" i="8" s="1"/>
  <c r="S40" i="8"/>
  <c r="AN39" i="8"/>
  <c r="V39" i="8"/>
  <c r="AK39" i="8" s="1"/>
  <c r="R39" i="8"/>
  <c r="AV38" i="8"/>
  <c r="AU38" i="8"/>
  <c r="AN38" i="8"/>
  <c r="V38" i="8"/>
  <c r="AK38" i="8" s="1"/>
  <c r="S38" i="8"/>
  <c r="AN37" i="8"/>
  <c r="V37" i="8"/>
  <c r="R37" i="8"/>
  <c r="AV36" i="8"/>
  <c r="AU36" i="8"/>
  <c r="AN36" i="8"/>
  <c r="V36" i="8"/>
  <c r="AK36" i="8" s="1"/>
  <c r="S36" i="8"/>
  <c r="AN35" i="8"/>
  <c r="V35" i="8"/>
  <c r="AK35" i="8" s="1"/>
  <c r="R35" i="8"/>
  <c r="AL55" i="8"/>
  <c r="G44" i="5"/>
  <c r="I44" i="5"/>
  <c r="J10" i="5"/>
  <c r="K10" i="5"/>
  <c r="L10" i="5"/>
  <c r="J11" i="5"/>
  <c r="K11" i="5"/>
  <c r="L11" i="5"/>
  <c r="J12" i="5"/>
  <c r="K12" i="5"/>
  <c r="L12" i="5"/>
  <c r="J13" i="5"/>
  <c r="K13" i="5"/>
  <c r="L13" i="5"/>
  <c r="J14" i="5"/>
  <c r="K14" i="5"/>
  <c r="L14" i="5"/>
  <c r="J15" i="5"/>
  <c r="K15" i="5"/>
  <c r="L15" i="5"/>
  <c r="J16" i="5"/>
  <c r="K16" i="5"/>
  <c r="L16" i="5"/>
  <c r="J17" i="5"/>
  <c r="K17" i="5"/>
  <c r="L17" i="5"/>
  <c r="J18" i="5"/>
  <c r="K18" i="5"/>
  <c r="L18" i="5"/>
  <c r="J19" i="5"/>
  <c r="K19" i="5"/>
  <c r="L19" i="5"/>
  <c r="J20" i="5"/>
  <c r="K20" i="5"/>
  <c r="L20" i="5"/>
  <c r="J21" i="5"/>
  <c r="K21" i="5"/>
  <c r="L21" i="5"/>
  <c r="J22" i="5"/>
  <c r="K22" i="5"/>
  <c r="L22" i="5"/>
  <c r="J23" i="5"/>
  <c r="K23" i="5"/>
  <c r="L23" i="5"/>
  <c r="J24" i="5"/>
  <c r="K24" i="5"/>
  <c r="L24" i="5"/>
  <c r="J25" i="5"/>
  <c r="K25" i="5"/>
  <c r="L25" i="5"/>
  <c r="J26" i="5"/>
  <c r="K26" i="5"/>
  <c r="L26" i="5"/>
  <c r="J27" i="5"/>
  <c r="K27" i="5"/>
  <c r="L27" i="5"/>
  <c r="J28" i="5"/>
  <c r="K28" i="5"/>
  <c r="L28" i="5"/>
  <c r="J29" i="5"/>
  <c r="K29" i="5"/>
  <c r="L29" i="5"/>
  <c r="J30" i="5"/>
  <c r="K30" i="5"/>
  <c r="L30" i="5"/>
  <c r="J31" i="5"/>
  <c r="K31" i="5"/>
  <c r="L31" i="5"/>
  <c r="J32" i="5"/>
  <c r="K32" i="5"/>
  <c r="L32" i="5"/>
  <c r="J33" i="5"/>
  <c r="K33" i="5"/>
  <c r="L33" i="5"/>
  <c r="K34" i="5"/>
  <c r="L34" i="5"/>
  <c r="G35" i="5"/>
  <c r="I35" i="5"/>
  <c r="G36" i="5"/>
  <c r="I36" i="5"/>
  <c r="G37" i="5"/>
  <c r="I37" i="5"/>
  <c r="G38" i="5"/>
  <c r="I38" i="5"/>
  <c r="G39" i="5"/>
  <c r="I39" i="5"/>
  <c r="G40" i="5"/>
  <c r="I40" i="5"/>
  <c r="G41" i="5"/>
  <c r="I41" i="5"/>
  <c r="G42" i="5"/>
  <c r="I42" i="5"/>
  <c r="G43" i="5"/>
  <c r="I43" i="5"/>
  <c r="O9" i="5"/>
  <c r="O10" i="5"/>
  <c r="O11" i="5"/>
  <c r="O12" i="5"/>
  <c r="O13" i="5"/>
  <c r="O14" i="5"/>
  <c r="O15" i="5"/>
  <c r="O16" i="5"/>
  <c r="O17" i="5"/>
  <c r="O18" i="5"/>
  <c r="O19" i="5"/>
  <c r="O20" i="5"/>
  <c r="O21" i="5"/>
  <c r="O22" i="5"/>
  <c r="O23" i="5"/>
  <c r="O24" i="5"/>
  <c r="O25" i="5"/>
  <c r="O26" i="5"/>
  <c r="O27" i="5"/>
  <c r="O28" i="5"/>
  <c r="O29" i="5"/>
  <c r="O30" i="5"/>
  <c r="O31" i="5"/>
  <c r="O32" i="5"/>
  <c r="O33" i="5"/>
  <c r="O8" i="5"/>
  <c r="L8" i="4"/>
  <c r="AG8" i="4" s="1"/>
  <c r="L9" i="4"/>
  <c r="D77" i="6" s="1"/>
  <c r="I77" i="6" s="1"/>
  <c r="L10" i="4"/>
  <c r="L11" i="4"/>
  <c r="L12" i="4"/>
  <c r="AG12" i="4" s="1"/>
  <c r="L13" i="4"/>
  <c r="L14" i="4"/>
  <c r="L15" i="4"/>
  <c r="AG15" i="4" s="1"/>
  <c r="L16" i="4"/>
  <c r="AG16" i="4" s="1"/>
  <c r="L17" i="4"/>
  <c r="L18" i="4"/>
  <c r="L19" i="4"/>
  <c r="AG19" i="4" s="1"/>
  <c r="L20" i="4"/>
  <c r="AG20" i="4" s="1"/>
  <c r="L21" i="4"/>
  <c r="L22" i="4"/>
  <c r="L23" i="4"/>
  <c r="AG23" i="4" s="1"/>
  <c r="L24" i="4"/>
  <c r="AG24" i="4" s="1"/>
  <c r="L25" i="4"/>
  <c r="L26" i="4"/>
  <c r="L27" i="4"/>
  <c r="AG27" i="4" s="1"/>
  <c r="L28" i="4"/>
  <c r="AG28" i="4" s="1"/>
  <c r="L29" i="4"/>
  <c r="L30" i="4"/>
  <c r="L31" i="4"/>
  <c r="AG31" i="4" s="1"/>
  <c r="L7" i="4"/>
  <c r="D82" i="6" s="1"/>
  <c r="I82" i="6" s="1"/>
  <c r="AN16" i="8"/>
  <c r="AU16" i="8"/>
  <c r="AV16" i="8"/>
  <c r="AN17" i="8"/>
  <c r="AN18" i="8"/>
  <c r="AU18" i="8"/>
  <c r="AV18" i="8"/>
  <c r="AN19" i="8"/>
  <c r="AN20" i="8"/>
  <c r="AU20" i="8"/>
  <c r="AV20" i="8"/>
  <c r="AN21" i="8"/>
  <c r="AN22" i="8"/>
  <c r="AU22" i="8"/>
  <c r="AV22" i="8"/>
  <c r="AN23" i="8"/>
  <c r="AN24" i="8"/>
  <c r="AU24" i="8"/>
  <c r="AV24" i="8"/>
  <c r="AN25" i="8"/>
  <c r="AN26" i="8"/>
  <c r="AU26" i="8"/>
  <c r="AV26" i="8"/>
  <c r="AN27" i="8"/>
  <c r="AN28" i="8"/>
  <c r="AU28" i="8"/>
  <c r="AV28" i="8"/>
  <c r="AN29" i="8"/>
  <c r="AN30" i="8"/>
  <c r="AU30" i="8"/>
  <c r="AV30" i="8"/>
  <c r="AN31" i="8"/>
  <c r="AN32" i="8"/>
  <c r="AU32" i="8"/>
  <c r="AV32" i="8"/>
  <c r="AN33" i="8"/>
  <c r="AN34" i="8"/>
  <c r="AU34" i="8"/>
  <c r="AV34" i="8"/>
  <c r="V34" i="8"/>
  <c r="AK34" i="8" s="1"/>
  <c r="V33" i="8"/>
  <c r="AK33" i="8" s="1"/>
  <c r="V32" i="8"/>
  <c r="AK32" i="8" s="1"/>
  <c r="V31" i="8"/>
  <c r="AK31" i="8" s="1"/>
  <c r="V30" i="8"/>
  <c r="AK30" i="8" s="1"/>
  <c r="V29" i="8"/>
  <c r="AK29" i="8" s="1"/>
  <c r="V28" i="8"/>
  <c r="AK28" i="8" s="1"/>
  <c r="V27" i="8"/>
  <c r="AK27" i="8" s="1"/>
  <c r="V26" i="8"/>
  <c r="AK26" i="8" s="1"/>
  <c r="V25" i="8"/>
  <c r="AK25" i="8" s="1"/>
  <c r="V24" i="8"/>
  <c r="AK24" i="8" s="1"/>
  <c r="V23" i="8"/>
  <c r="AK23" i="8" s="1"/>
  <c r="V22" i="8"/>
  <c r="AK22" i="8" s="1"/>
  <c r="V21" i="8"/>
  <c r="AK21" i="8" s="1"/>
  <c r="V20" i="8"/>
  <c r="AK20" i="8" s="1"/>
  <c r="V19" i="8"/>
  <c r="AK19" i="8" s="1"/>
  <c r="V18" i="8"/>
  <c r="AK18" i="8" s="1"/>
  <c r="V16" i="8"/>
  <c r="AK16" i="8" s="1"/>
  <c r="V15" i="8"/>
  <c r="AK15" i="8" s="1"/>
  <c r="N8" i="4"/>
  <c r="N9" i="4"/>
  <c r="N10" i="4"/>
  <c r="N11" i="4"/>
  <c r="N12" i="4"/>
  <c r="N13" i="4"/>
  <c r="N14" i="4"/>
  <c r="N15" i="4"/>
  <c r="N16" i="4"/>
  <c r="N17" i="4"/>
  <c r="N18" i="4"/>
  <c r="N19" i="4"/>
  <c r="N20" i="4"/>
  <c r="N21" i="4"/>
  <c r="N22" i="4"/>
  <c r="N23" i="4"/>
  <c r="N24" i="4"/>
  <c r="N25" i="4"/>
  <c r="N26" i="4"/>
  <c r="N27" i="4"/>
  <c r="N28" i="4"/>
  <c r="N29" i="4"/>
  <c r="N30" i="4"/>
  <c r="N31" i="4"/>
  <c r="N7" i="4"/>
  <c r="M8" i="4"/>
  <c r="M9" i="4"/>
  <c r="M10" i="4"/>
  <c r="M11" i="4"/>
  <c r="M12" i="4"/>
  <c r="M13" i="4"/>
  <c r="M14" i="4"/>
  <c r="M15" i="4"/>
  <c r="M16" i="4"/>
  <c r="M17" i="4"/>
  <c r="M18" i="4"/>
  <c r="M19" i="4"/>
  <c r="M20" i="4"/>
  <c r="M21" i="4"/>
  <c r="M22" i="4"/>
  <c r="M23" i="4"/>
  <c r="M24" i="4"/>
  <c r="M25" i="4"/>
  <c r="M26" i="4"/>
  <c r="M27" i="4"/>
  <c r="M28" i="4"/>
  <c r="M29" i="4"/>
  <c r="M30" i="4"/>
  <c r="M31" i="4"/>
  <c r="M7" i="4"/>
  <c r="S34" i="8"/>
  <c r="S32" i="8"/>
  <c r="S30" i="8"/>
  <c r="S28" i="8"/>
  <c r="S26" i="8"/>
  <c r="S24" i="8"/>
  <c r="S22" i="8"/>
  <c r="S20" i="8"/>
  <c r="S18" i="8"/>
  <c r="S16" i="8"/>
  <c r="R33" i="8"/>
  <c r="R31" i="8"/>
  <c r="R29" i="8"/>
  <c r="R27" i="8"/>
  <c r="R25" i="8"/>
  <c r="R23" i="8"/>
  <c r="R21" i="8"/>
  <c r="R19" i="8"/>
  <c r="R17" i="8"/>
  <c r="AG17" i="8" s="1"/>
  <c r="R15" i="8"/>
  <c r="U15" i="8" s="1"/>
  <c r="BG25" i="8" l="1"/>
  <c r="O25" i="8"/>
  <c r="AG25" i="8"/>
  <c r="O27" i="8"/>
  <c r="AG27" i="8"/>
  <c r="T29" i="8"/>
  <c r="O29" i="8"/>
  <c r="AG29" i="8"/>
  <c r="AE31" i="8"/>
  <c r="AG31" i="8"/>
  <c r="O31" i="8"/>
  <c r="AG21" i="8"/>
  <c r="O21" i="8"/>
  <c r="AF33" i="8"/>
  <c r="AG33" i="8"/>
  <c r="O33" i="8"/>
  <c r="AA19" i="8"/>
  <c r="AG19" i="8"/>
  <c r="O19" i="8"/>
  <c r="AQ35" i="8"/>
  <c r="AG35" i="8"/>
  <c r="O35" i="8"/>
  <c r="R38" i="8"/>
  <c r="AF38" i="8" s="1"/>
  <c r="AG37" i="8"/>
  <c r="O37" i="8"/>
  <c r="T40" i="8"/>
  <c r="O39" i="8"/>
  <c r="AG39" i="8"/>
  <c r="O41" i="8"/>
  <c r="AG41" i="8"/>
  <c r="C44" i="8"/>
  <c r="O43" i="8"/>
  <c r="AG43" i="8"/>
  <c r="R46" i="8"/>
  <c r="AE46" i="8" s="1"/>
  <c r="AG45" i="8"/>
  <c r="O45" i="8"/>
  <c r="T48" i="8"/>
  <c r="AG47" i="8"/>
  <c r="O47" i="8"/>
  <c r="AF49" i="8"/>
  <c r="AG49" i="8"/>
  <c r="O49" i="8"/>
  <c r="C52" i="8"/>
  <c r="AG51" i="8"/>
  <c r="O51" i="8"/>
  <c r="R54" i="8"/>
  <c r="AE54" i="8" s="1"/>
  <c r="AG53" i="8"/>
  <c r="O53" i="8"/>
  <c r="O23" i="8"/>
  <c r="AG23" i="8"/>
  <c r="Y15" i="8"/>
  <c r="AH15" i="8" s="1"/>
  <c r="AL15" i="8" s="1"/>
  <c r="AG15" i="8"/>
  <c r="O15" i="8"/>
  <c r="O17" i="8"/>
  <c r="AF7" i="4"/>
  <c r="AF8" i="4" s="1"/>
  <c r="AF9" i="4" s="1"/>
  <c r="AF10" i="4" s="1"/>
  <c r="AF11" i="4" s="1"/>
  <c r="AF12" i="4" s="1"/>
  <c r="AF13" i="4" s="1"/>
  <c r="AF14" i="4" s="1"/>
  <c r="AF15" i="4" s="1"/>
  <c r="AF16" i="4" s="1"/>
  <c r="AF17" i="4" s="1"/>
  <c r="AF18" i="4" s="1"/>
  <c r="AF19" i="4" s="1"/>
  <c r="AF20" i="4" s="1"/>
  <c r="AF21" i="4" s="1"/>
  <c r="AF22" i="4" s="1"/>
  <c r="AF23" i="4" s="1"/>
  <c r="AF24" i="4" s="1"/>
  <c r="AF25" i="4" s="1"/>
  <c r="AF26" i="4" s="1"/>
  <c r="AF27" i="4" s="1"/>
  <c r="AF28" i="4" s="1"/>
  <c r="AF29" i="4" s="1"/>
  <c r="AF30" i="4" s="1"/>
  <c r="AF31" i="4" s="1"/>
  <c r="AF32" i="4" s="1"/>
  <c r="AF33" i="4" s="1"/>
  <c r="AF34" i="4" s="1"/>
  <c r="AF35" i="4" s="1"/>
  <c r="AF36" i="4" s="1"/>
  <c r="M45" i="8"/>
  <c r="AT45" i="8" s="1"/>
  <c r="M54" i="8"/>
  <c r="AF23" i="8"/>
  <c r="AE23" i="8"/>
  <c r="AF15" i="8"/>
  <c r="AE15" i="8"/>
  <c r="BG51" i="8"/>
  <c r="AF21" i="8"/>
  <c r="AF51" i="8"/>
  <c r="AE21" i="8"/>
  <c r="AE53" i="8"/>
  <c r="BG43" i="8"/>
  <c r="AF17" i="8"/>
  <c r="AF25" i="8"/>
  <c r="AE17" i="8"/>
  <c r="AE25" i="8"/>
  <c r="M41" i="8"/>
  <c r="AT41" i="8" s="1"/>
  <c r="AF19" i="8"/>
  <c r="AE19" i="8"/>
  <c r="AE27" i="8"/>
  <c r="D26" i="6"/>
  <c r="I26" i="6" s="1"/>
  <c r="D61" i="6"/>
  <c r="I61" i="6" s="1"/>
  <c r="D16" i="6"/>
  <c r="I16" i="6" s="1"/>
  <c r="D24" i="6"/>
  <c r="I24" i="6" s="1"/>
  <c r="D29" i="6"/>
  <c r="I29" i="6" s="1"/>
  <c r="D37" i="6"/>
  <c r="I37" i="6" s="1"/>
  <c r="D45" i="6"/>
  <c r="I45" i="6" s="1"/>
  <c r="D56" i="6"/>
  <c r="I56" i="6" s="1"/>
  <c r="D64" i="6"/>
  <c r="I64" i="6" s="1"/>
  <c r="D72" i="6"/>
  <c r="I72" i="6" s="1"/>
  <c r="D80" i="6"/>
  <c r="I80" i="6" s="1"/>
  <c r="D15" i="6"/>
  <c r="I15" i="6" s="1"/>
  <c r="D17" i="6"/>
  <c r="I17" i="6" s="1"/>
  <c r="D32" i="6"/>
  <c r="I32" i="6" s="1"/>
  <c r="D40" i="6"/>
  <c r="I40" i="6" s="1"/>
  <c r="D51" i="6"/>
  <c r="I51" i="6" s="1"/>
  <c r="D59" i="6"/>
  <c r="I59" i="6" s="1"/>
  <c r="D67" i="6"/>
  <c r="I67" i="6" s="1"/>
  <c r="D75" i="6"/>
  <c r="I75" i="6" s="1"/>
  <c r="D83" i="6"/>
  <c r="I83" i="6" s="1"/>
  <c r="D53" i="6"/>
  <c r="I53" i="6" s="1"/>
  <c r="D85" i="6"/>
  <c r="I85" i="6" s="1"/>
  <c r="D10" i="6"/>
  <c r="I10" i="6" s="1"/>
  <c r="D18" i="6"/>
  <c r="I18" i="6" s="1"/>
  <c r="D27" i="6"/>
  <c r="I27" i="6" s="1"/>
  <c r="D35" i="6"/>
  <c r="I35" i="6" s="1"/>
  <c r="D43" i="6"/>
  <c r="I43" i="6" s="1"/>
  <c r="D54" i="6"/>
  <c r="I54" i="6" s="1"/>
  <c r="D62" i="6"/>
  <c r="I62" i="6" s="1"/>
  <c r="D70" i="6"/>
  <c r="I70" i="6" s="1"/>
  <c r="D78" i="6"/>
  <c r="I78" i="6" s="1"/>
  <c r="D23" i="6"/>
  <c r="I23" i="6" s="1"/>
  <c r="D69" i="6"/>
  <c r="I69" i="6" s="1"/>
  <c r="D11" i="6"/>
  <c r="I11" i="6" s="1"/>
  <c r="D19" i="6"/>
  <c r="I19" i="6" s="1"/>
  <c r="D30" i="6"/>
  <c r="I30" i="6" s="1"/>
  <c r="D38" i="6"/>
  <c r="I38" i="6" s="1"/>
  <c r="D46" i="6"/>
  <c r="I46" i="6" s="1"/>
  <c r="D49" i="6"/>
  <c r="I49" i="6" s="1"/>
  <c r="D57" i="6"/>
  <c r="I57" i="6" s="1"/>
  <c r="D65" i="6"/>
  <c r="I65" i="6" s="1"/>
  <c r="D73" i="6"/>
  <c r="I73" i="6" s="1"/>
  <c r="D81" i="6"/>
  <c r="I81" i="6" s="1"/>
  <c r="D34" i="6"/>
  <c r="I34" i="6" s="1"/>
  <c r="D12" i="6"/>
  <c r="I12" i="6" s="1"/>
  <c r="D20" i="6"/>
  <c r="I20" i="6" s="1"/>
  <c r="D25" i="6"/>
  <c r="I25" i="6" s="1"/>
  <c r="D33" i="6"/>
  <c r="I33" i="6" s="1"/>
  <c r="D41" i="6"/>
  <c r="I41" i="6" s="1"/>
  <c r="D52" i="6"/>
  <c r="I52" i="6" s="1"/>
  <c r="D60" i="6"/>
  <c r="I60" i="6" s="1"/>
  <c r="D68" i="6"/>
  <c r="I68" i="6" s="1"/>
  <c r="D76" i="6"/>
  <c r="I76" i="6" s="1"/>
  <c r="D84" i="6"/>
  <c r="I84" i="6" s="1"/>
  <c r="D42" i="6"/>
  <c r="I42" i="6" s="1"/>
  <c r="D13" i="6"/>
  <c r="I13" i="6" s="1"/>
  <c r="D21" i="6"/>
  <c r="I21" i="6" s="1"/>
  <c r="D28" i="6"/>
  <c r="I28" i="6" s="1"/>
  <c r="D36" i="6"/>
  <c r="I36" i="6" s="1"/>
  <c r="D44" i="6"/>
  <c r="I44" i="6" s="1"/>
  <c r="D55" i="6"/>
  <c r="I55" i="6" s="1"/>
  <c r="D63" i="6"/>
  <c r="I63" i="6" s="1"/>
  <c r="D71" i="6"/>
  <c r="I71" i="6" s="1"/>
  <c r="D79" i="6"/>
  <c r="I79" i="6" s="1"/>
  <c r="D14" i="6"/>
  <c r="I14" i="6" s="1"/>
  <c r="D22" i="6"/>
  <c r="I22" i="6" s="1"/>
  <c r="D31" i="6"/>
  <c r="I31" i="6" s="1"/>
  <c r="D39" i="6"/>
  <c r="I39" i="6" s="1"/>
  <c r="D47" i="6"/>
  <c r="I47" i="6" s="1"/>
  <c r="D50" i="6"/>
  <c r="I50" i="6" s="1"/>
  <c r="D58" i="6"/>
  <c r="I58" i="6" s="1"/>
  <c r="D66" i="6"/>
  <c r="I66" i="6" s="1"/>
  <c r="D74" i="6"/>
  <c r="I74" i="6" s="1"/>
  <c r="BG53" i="8"/>
  <c r="AF53" i="8"/>
  <c r="M51" i="8"/>
  <c r="AT51" i="8" s="1"/>
  <c r="AE51" i="8"/>
  <c r="BG49" i="8"/>
  <c r="AE49" i="8"/>
  <c r="M50" i="8"/>
  <c r="AT50" i="8" s="1"/>
  <c r="AC47" i="8"/>
  <c r="BG47" i="8"/>
  <c r="AF47" i="8"/>
  <c r="AE47" i="8"/>
  <c r="AF45" i="8"/>
  <c r="BG45" i="8"/>
  <c r="AE45" i="8"/>
  <c r="M46" i="8"/>
  <c r="AV45" i="8" s="1"/>
  <c r="AE43" i="8"/>
  <c r="AF43" i="8"/>
  <c r="M43" i="8"/>
  <c r="AT43" i="8" s="1"/>
  <c r="BG41" i="8"/>
  <c r="AF41" i="8"/>
  <c r="AE41" i="8"/>
  <c r="AE39" i="8"/>
  <c r="BG39" i="8"/>
  <c r="AF39" i="8"/>
  <c r="AE37" i="8"/>
  <c r="M37" i="8"/>
  <c r="AT37" i="8" s="1"/>
  <c r="AF37" i="8"/>
  <c r="BG37" i="8"/>
  <c r="BG35" i="8"/>
  <c r="AF35" i="8"/>
  <c r="AE35" i="8"/>
  <c r="AE33" i="8"/>
  <c r="BG33" i="8"/>
  <c r="AF31" i="8"/>
  <c r="BG31" i="8"/>
  <c r="AF29" i="8"/>
  <c r="AE29" i="8"/>
  <c r="BG29" i="8"/>
  <c r="BG27" i="8"/>
  <c r="AF27" i="8"/>
  <c r="J34" i="5"/>
  <c r="M49" i="8"/>
  <c r="AT49" i="8" s="1"/>
  <c r="M32" i="8"/>
  <c r="M40" i="8"/>
  <c r="M48" i="8"/>
  <c r="AT48" i="8" s="1"/>
  <c r="M26" i="8"/>
  <c r="AT26" i="8" s="1"/>
  <c r="M34" i="8"/>
  <c r="M42" i="8"/>
  <c r="AT42" i="8" s="1"/>
  <c r="M33" i="8"/>
  <c r="AT33" i="8" s="1"/>
  <c r="M27" i="8"/>
  <c r="AT27" i="8" s="1"/>
  <c r="M35" i="8"/>
  <c r="AT35" i="8" s="1"/>
  <c r="M25" i="8"/>
  <c r="AT25" i="8" s="1"/>
  <c r="M28" i="8"/>
  <c r="M36" i="8"/>
  <c r="M44" i="8"/>
  <c r="AT44" i="8" s="1"/>
  <c r="M52" i="8"/>
  <c r="M29" i="8"/>
  <c r="AT29" i="8" s="1"/>
  <c r="M53" i="8"/>
  <c r="AT53" i="8" s="1"/>
  <c r="M30" i="8"/>
  <c r="M38" i="8"/>
  <c r="AT38" i="8" s="1"/>
  <c r="M31" i="8"/>
  <c r="AT31" i="8" s="1"/>
  <c r="M39" i="8"/>
  <c r="AT39" i="8" s="1"/>
  <c r="M47" i="8"/>
  <c r="AT47" i="8" s="1"/>
  <c r="M15" i="8"/>
  <c r="M16" i="8"/>
  <c r="AT16" i="8" s="1"/>
  <c r="M18" i="8"/>
  <c r="M24" i="8"/>
  <c r="AT24" i="8" s="1"/>
  <c r="BG23" i="8"/>
  <c r="M23" i="8"/>
  <c r="AT23" i="8" s="1"/>
  <c r="BG21" i="8"/>
  <c r="M21" i="8"/>
  <c r="AT21" i="8" s="1"/>
  <c r="M22" i="8"/>
  <c r="AT22" i="8" s="1"/>
  <c r="M19" i="8"/>
  <c r="AT19" i="8" s="1"/>
  <c r="M20" i="8"/>
  <c r="AT20" i="8" s="1"/>
  <c r="C20" i="8"/>
  <c r="C19" i="8"/>
  <c r="C18" i="8"/>
  <c r="C17" i="8"/>
  <c r="C16" i="8"/>
  <c r="C15" i="8"/>
  <c r="BG19" i="8"/>
  <c r="BG17" i="8"/>
  <c r="BG15" i="8"/>
  <c r="BF15" i="8" s="1"/>
  <c r="BF16" i="8" s="1"/>
  <c r="W41" i="8"/>
  <c r="Y41" i="8"/>
  <c r="AH41" i="8" s="1"/>
  <c r="AR43" i="8"/>
  <c r="T43" i="8"/>
  <c r="S53" i="8"/>
  <c r="AJ53" i="8"/>
  <c r="T44" i="8"/>
  <c r="AO53" i="8"/>
  <c r="AB35" i="8"/>
  <c r="AA51" i="8"/>
  <c r="AR53" i="8"/>
  <c r="AA43" i="8"/>
  <c r="C51" i="8"/>
  <c r="AC51" i="8"/>
  <c r="C53" i="8"/>
  <c r="AS49" i="8"/>
  <c r="AU53" i="8"/>
  <c r="AA53" i="8"/>
  <c r="AT54" i="8"/>
  <c r="AJ51" i="8"/>
  <c r="AK54" i="8"/>
  <c r="AC39" i="8"/>
  <c r="AB41" i="8"/>
  <c r="AP51" i="8"/>
  <c r="AR51" i="8"/>
  <c r="T41" i="8"/>
  <c r="C43" i="8"/>
  <c r="AJ43" i="8"/>
  <c r="AC53" i="8"/>
  <c r="C54" i="8"/>
  <c r="AA37" i="8"/>
  <c r="AS41" i="8"/>
  <c r="W47" i="8"/>
  <c r="AB49" i="8"/>
  <c r="Y51" i="8"/>
  <c r="AR37" i="8"/>
  <c r="AK41" i="8"/>
  <c r="AC37" i="8"/>
  <c r="AO45" i="8"/>
  <c r="AS35" i="8"/>
  <c r="AU37" i="8"/>
  <c r="W39" i="8"/>
  <c r="AP41" i="8"/>
  <c r="Y43" i="8"/>
  <c r="AP43" i="8"/>
  <c r="AR45" i="8"/>
  <c r="Y49" i="8"/>
  <c r="T50" i="8"/>
  <c r="AB51" i="8"/>
  <c r="AS51" i="8"/>
  <c r="AJ37" i="8"/>
  <c r="T35" i="8"/>
  <c r="S37" i="8"/>
  <c r="AB43" i="8"/>
  <c r="AS43" i="8"/>
  <c r="C45" i="8"/>
  <c r="AC45" i="8"/>
  <c r="T51" i="8"/>
  <c r="AA45" i="8"/>
  <c r="C46" i="8"/>
  <c r="AO37" i="8"/>
  <c r="T42" i="8"/>
  <c r="S43" i="8"/>
  <c r="AC43" i="8"/>
  <c r="AU45" i="8"/>
  <c r="T49" i="8"/>
  <c r="C38" i="8"/>
  <c r="S45" i="8"/>
  <c r="AJ45" i="8"/>
  <c r="AP49" i="8"/>
  <c r="AK46" i="8"/>
  <c r="AK50" i="8"/>
  <c r="AV37" i="8"/>
  <c r="AC46" i="8"/>
  <c r="AB46" i="8"/>
  <c r="AA46" i="8"/>
  <c r="AS46" i="8"/>
  <c r="Z46" i="8"/>
  <c r="AR46" i="8"/>
  <c r="AJ46" i="8"/>
  <c r="AQ46" i="8"/>
  <c r="AP46" i="8"/>
  <c r="AO46" i="8"/>
  <c r="AP15" i="8"/>
  <c r="S35" i="8"/>
  <c r="AA35" i="8"/>
  <c r="AJ35" i="8"/>
  <c r="AR35" i="8"/>
  <c r="R36" i="8"/>
  <c r="T37" i="8"/>
  <c r="AB37" i="8"/>
  <c r="AK37" i="8"/>
  <c r="AS37" i="8"/>
  <c r="T38" i="8"/>
  <c r="C39" i="8"/>
  <c r="AD39" i="8"/>
  <c r="AO41" i="8"/>
  <c r="C42" i="8"/>
  <c r="Z43" i="8"/>
  <c r="AQ43" i="8"/>
  <c r="R44" i="8"/>
  <c r="T45" i="8"/>
  <c r="AB45" i="8"/>
  <c r="AK45" i="8"/>
  <c r="AS45" i="8"/>
  <c r="T46" i="8"/>
  <c r="C47" i="8"/>
  <c r="AD47" i="8"/>
  <c r="AO49" i="8"/>
  <c r="C50" i="8"/>
  <c r="Z51" i="8"/>
  <c r="AQ51" i="8"/>
  <c r="R52" i="8"/>
  <c r="T53" i="8"/>
  <c r="AB53" i="8"/>
  <c r="AS53" i="8"/>
  <c r="T54" i="8"/>
  <c r="AC35" i="8"/>
  <c r="T36" i="8"/>
  <c r="C37" i="8"/>
  <c r="AD37" i="8"/>
  <c r="AU39" i="8"/>
  <c r="AO39" i="8"/>
  <c r="C40" i="8"/>
  <c r="Z41" i="8"/>
  <c r="AQ41" i="8"/>
  <c r="R42" i="8"/>
  <c r="AK43" i="8"/>
  <c r="AU47" i="8"/>
  <c r="AO47" i="8"/>
  <c r="C48" i="8"/>
  <c r="Z49" i="8"/>
  <c r="AQ49" i="8"/>
  <c r="R50" i="8"/>
  <c r="AK51" i="8"/>
  <c r="T52" i="8"/>
  <c r="AP31" i="8"/>
  <c r="C35" i="8"/>
  <c r="W37" i="8"/>
  <c r="Y39" i="8"/>
  <c r="AP39" i="8"/>
  <c r="S41" i="8"/>
  <c r="AA41" i="8"/>
  <c r="AJ41" i="8"/>
  <c r="AR41" i="8"/>
  <c r="Y47" i="8"/>
  <c r="AP47" i="8"/>
  <c r="S49" i="8"/>
  <c r="AA49" i="8"/>
  <c r="AJ49" i="8"/>
  <c r="AR49" i="8"/>
  <c r="Z39" i="8"/>
  <c r="AQ39" i="8"/>
  <c r="R40" i="8"/>
  <c r="Z47" i="8"/>
  <c r="AQ47" i="8"/>
  <c r="R48" i="8"/>
  <c r="AU35" i="8"/>
  <c r="AO35" i="8"/>
  <c r="Y37" i="8"/>
  <c r="AP37" i="8"/>
  <c r="S39" i="8"/>
  <c r="AA39" i="8"/>
  <c r="AJ39" i="8"/>
  <c r="AR39" i="8"/>
  <c r="AC41" i="8"/>
  <c r="Y45" i="8"/>
  <c r="AP45" i="8"/>
  <c r="S47" i="8"/>
  <c r="AA47" i="8"/>
  <c r="AJ47" i="8"/>
  <c r="AR47" i="8"/>
  <c r="AC49" i="8"/>
  <c r="Y53" i="8"/>
  <c r="AP53" i="8"/>
  <c r="Y35" i="8"/>
  <c r="AP35" i="8"/>
  <c r="C36" i="8"/>
  <c r="Z37" i="8"/>
  <c r="AQ37" i="8"/>
  <c r="T39" i="8"/>
  <c r="AB39" i="8"/>
  <c r="AS39" i="8"/>
  <c r="C41" i="8"/>
  <c r="AU43" i="8"/>
  <c r="AO43" i="8"/>
  <c r="Z45" i="8"/>
  <c r="AQ45" i="8"/>
  <c r="T47" i="8"/>
  <c r="AB47" i="8"/>
  <c r="AS47" i="8"/>
  <c r="C49" i="8"/>
  <c r="AU51" i="8"/>
  <c r="AO51" i="8"/>
  <c r="Z53" i="8"/>
  <c r="AQ53" i="8"/>
  <c r="Z35" i="8"/>
  <c r="AO15" i="8"/>
  <c r="X35" i="4" s="1"/>
  <c r="AR31" i="8"/>
  <c r="AP27" i="8"/>
  <c r="AJ31" i="8"/>
  <c r="AR25" i="8"/>
  <c r="AO27" i="8"/>
  <c r="AR23" i="8"/>
  <c r="AS21" i="8"/>
  <c r="AR19" i="8"/>
  <c r="AJ15" i="8"/>
  <c r="AS31" i="8"/>
  <c r="AQ23" i="8"/>
  <c r="AO17" i="8"/>
  <c r="AQ19" i="8"/>
  <c r="AQ15" i="8"/>
  <c r="AQ31" i="8"/>
  <c r="AS25" i="8"/>
  <c r="AJ25" i="8"/>
  <c r="AP23" i="8"/>
  <c r="AJ21" i="8"/>
  <c r="AP19" i="8"/>
  <c r="AO19" i="8"/>
  <c r="AS15" i="8"/>
  <c r="AR33" i="8"/>
  <c r="AO31" i="8"/>
  <c r="AQ25" i="8"/>
  <c r="AR21" i="8"/>
  <c r="AS17" i="8"/>
  <c r="AJ17" i="8"/>
  <c r="AO23" i="8"/>
  <c r="AR15" i="8"/>
  <c r="AQ33" i="8"/>
  <c r="AS27" i="8"/>
  <c r="AJ27" i="8"/>
  <c r="AP25" i="8"/>
  <c r="AQ21" i="8"/>
  <c r="AR17" i="8"/>
  <c r="AS33" i="8"/>
  <c r="AJ33" i="8"/>
  <c r="AP33" i="8"/>
  <c r="AR27" i="8"/>
  <c r="AO25" i="8"/>
  <c r="AP21" i="8"/>
  <c r="AQ17" i="8"/>
  <c r="AO33" i="8"/>
  <c r="AQ27" i="8"/>
  <c r="AS23" i="8"/>
  <c r="AJ23" i="8"/>
  <c r="AO21" i="8"/>
  <c r="AS19" i="8"/>
  <c r="AJ19" i="8"/>
  <c r="AP17" i="8"/>
  <c r="AG30" i="4"/>
  <c r="AG26" i="4"/>
  <c r="AG22" i="4"/>
  <c r="AG18" i="4"/>
  <c r="AG14" i="4"/>
  <c r="AG10" i="4"/>
  <c r="AG7" i="4"/>
  <c r="AG29" i="4"/>
  <c r="AG25" i="4"/>
  <c r="AG21" i="4"/>
  <c r="AG17" i="4"/>
  <c r="AG13" i="4"/>
  <c r="AG9" i="4"/>
  <c r="AG11" i="4"/>
  <c r="AP29" i="8"/>
  <c r="AO29" i="8"/>
  <c r="AR29" i="8"/>
  <c r="AJ29" i="8"/>
  <c r="AS29" i="8"/>
  <c r="AQ29" i="8"/>
  <c r="T33" i="8"/>
  <c r="AU29" i="8"/>
  <c r="S29" i="8"/>
  <c r="Z29" i="8"/>
  <c r="AU31" i="8"/>
  <c r="AB17" i="8"/>
  <c r="AU33" i="8"/>
  <c r="T30" i="8"/>
  <c r="AU27" i="8"/>
  <c r="AU19" i="8"/>
  <c r="AU21" i="8"/>
  <c r="AU23" i="8"/>
  <c r="AU25" i="8"/>
  <c r="T31" i="8"/>
  <c r="AB15" i="8"/>
  <c r="AC33" i="8"/>
  <c r="S19" i="8"/>
  <c r="W27" i="8"/>
  <c r="AB25" i="8"/>
  <c r="AC25" i="8"/>
  <c r="W19" i="8"/>
  <c r="T16" i="8"/>
  <c r="C29" i="8"/>
  <c r="T17" i="8"/>
  <c r="AB29" i="8"/>
  <c r="C30" i="8"/>
  <c r="S27" i="8"/>
  <c r="T25" i="8"/>
  <c r="Z15" i="8"/>
  <c r="AC29" i="8"/>
  <c r="C32" i="8"/>
  <c r="AB33" i="8"/>
  <c r="AD33" i="8"/>
  <c r="AC21" i="8"/>
  <c r="C23" i="8"/>
  <c r="C31" i="8"/>
  <c r="T15" i="8"/>
  <c r="T24" i="8"/>
  <c r="T32" i="8"/>
  <c r="Z23" i="8"/>
  <c r="Z31" i="8"/>
  <c r="AA25" i="8"/>
  <c r="C21" i="8"/>
  <c r="S21" i="8"/>
  <c r="W21" i="8"/>
  <c r="C25" i="8"/>
  <c r="C33" i="8"/>
  <c r="T18" i="8"/>
  <c r="T26" i="8"/>
  <c r="T34" i="8"/>
  <c r="Z17" i="8"/>
  <c r="Z25" i="8"/>
  <c r="Z33" i="8"/>
  <c r="AA29" i="8"/>
  <c r="AB19" i="8"/>
  <c r="AB23" i="8"/>
  <c r="AB27" i="8"/>
  <c r="AB31" i="8"/>
  <c r="AD19" i="8"/>
  <c r="AD27" i="8"/>
  <c r="Z21" i="8"/>
  <c r="C22" i="8"/>
  <c r="AA27" i="8"/>
  <c r="C26" i="8"/>
  <c r="C34" i="8"/>
  <c r="S23" i="8"/>
  <c r="S31" i="8"/>
  <c r="T19" i="8"/>
  <c r="T27" i="8"/>
  <c r="AA31" i="8"/>
  <c r="AC19" i="8"/>
  <c r="AC23" i="8"/>
  <c r="AC27" i="8"/>
  <c r="AC31" i="8"/>
  <c r="AA21" i="8"/>
  <c r="AA23" i="8"/>
  <c r="C27" i="8"/>
  <c r="S15" i="8"/>
  <c r="T20" i="8"/>
  <c r="T28" i="8"/>
  <c r="Z19" i="8"/>
  <c r="Z27" i="8"/>
  <c r="AA15" i="8"/>
  <c r="AA33" i="8"/>
  <c r="AC15" i="8"/>
  <c r="T22" i="8"/>
  <c r="T23" i="8"/>
  <c r="C24" i="8"/>
  <c r="C28" i="8"/>
  <c r="S17" i="8"/>
  <c r="S25" i="8"/>
  <c r="S33" i="8"/>
  <c r="T21" i="8"/>
  <c r="W33" i="8"/>
  <c r="AB21" i="8"/>
  <c r="AD21" i="8"/>
  <c r="Y21" i="8"/>
  <c r="Y19" i="8"/>
  <c r="Y23" i="8"/>
  <c r="Y25" i="8"/>
  <c r="Y27" i="8"/>
  <c r="Y29" i="8"/>
  <c r="Y31" i="8"/>
  <c r="Y17" i="8"/>
  <c r="BA17" i="8" s="1"/>
  <c r="Y33" i="8"/>
  <c r="D4" i="5"/>
  <c r="I3" i="4"/>
  <c r="AS38" i="8" l="1"/>
  <c r="BA15" i="8"/>
  <c r="AZ15" i="8"/>
  <c r="AZ16" i="8" s="1"/>
  <c r="AZ17" i="8" s="1"/>
  <c r="AZ18" i="8" s="1"/>
  <c r="AZ19" i="8" s="1"/>
  <c r="AZ20" i="8" s="1"/>
  <c r="AZ21" i="8" s="1"/>
  <c r="AZ22" i="8" s="1"/>
  <c r="AZ23" i="8" s="1"/>
  <c r="AZ24" i="8" s="1"/>
  <c r="AZ25" i="8" s="1"/>
  <c r="AZ26" i="8" s="1"/>
  <c r="AZ27" i="8" s="1"/>
  <c r="AZ28" i="8" s="1"/>
  <c r="AZ29" i="8" s="1"/>
  <c r="AZ30" i="8" s="1"/>
  <c r="AZ31" i="8" s="1"/>
  <c r="AZ32" i="8" s="1"/>
  <c r="AZ33" i="8" s="1"/>
  <c r="AZ34" i="8" s="1"/>
  <c r="AZ35" i="8" s="1"/>
  <c r="AZ36" i="8" s="1"/>
  <c r="AZ37" i="8" s="1"/>
  <c r="AZ38" i="8" s="1"/>
  <c r="AZ39" i="8" s="1"/>
  <c r="AZ40" i="8" s="1"/>
  <c r="AZ41" i="8" s="1"/>
  <c r="AZ42" i="8" s="1"/>
  <c r="AZ43" i="8" s="1"/>
  <c r="AZ44" i="8" s="1"/>
  <c r="AZ45" i="8" s="1"/>
  <c r="AZ46" i="8" s="1"/>
  <c r="AZ47" i="8" s="1"/>
  <c r="AZ48" i="8" s="1"/>
  <c r="AZ49" i="8" s="1"/>
  <c r="AZ50" i="8" s="1"/>
  <c r="AZ51" i="8" s="1"/>
  <c r="AZ52" i="8" s="1"/>
  <c r="AZ53" i="8" s="1"/>
  <c r="AZ54" i="8" s="1"/>
  <c r="AO54" i="8"/>
  <c r="AA54" i="8"/>
  <c r="AF46" i="8"/>
  <c r="W54" i="8"/>
  <c r="AJ38" i="8"/>
  <c r="AJ54" i="8"/>
  <c r="AD38" i="8"/>
  <c r="AA38" i="8"/>
  <c r="AR54" i="8"/>
  <c r="AO38" i="8"/>
  <c r="AP38" i="8"/>
  <c r="Z54" i="8"/>
  <c r="AQ38" i="8"/>
  <c r="AB38" i="8"/>
  <c r="AD54" i="8"/>
  <c r="AS54" i="8"/>
  <c r="W38" i="8"/>
  <c r="AC38" i="8"/>
  <c r="AF54" i="8"/>
  <c r="AP54" i="8"/>
  <c r="AB54" i="8"/>
  <c r="AR38" i="8"/>
  <c r="AQ54" i="8"/>
  <c r="AC54" i="8"/>
  <c r="Z38" i="8"/>
  <c r="AE38" i="8"/>
  <c r="O9" i="8"/>
  <c r="AT18" i="8"/>
  <c r="AT15" i="8"/>
  <c r="N15" i="8"/>
  <c r="BF17" i="8"/>
  <c r="BF18" i="8" s="1"/>
  <c r="BF19" i="8" s="1"/>
  <c r="BF20" i="8" s="1"/>
  <c r="BF21" i="8" s="1"/>
  <c r="BF22" i="8" s="1"/>
  <c r="BF23" i="8" s="1"/>
  <c r="BF24" i="8" s="1"/>
  <c r="BF25" i="8" s="1"/>
  <c r="BF26" i="8" s="1"/>
  <c r="BF27" i="8" s="1"/>
  <c r="BF28" i="8" s="1"/>
  <c r="BF29" i="8" s="1"/>
  <c r="BF30" i="8" s="1"/>
  <c r="BF31" i="8" s="1"/>
  <c r="BF32" i="8" s="1"/>
  <c r="BF33" i="8" s="1"/>
  <c r="BF34" i="8" s="1"/>
  <c r="BF35" i="8" s="1"/>
  <c r="BF36" i="8" s="1"/>
  <c r="BF37" i="8" s="1"/>
  <c r="BF38" i="8" s="1"/>
  <c r="BF39" i="8" s="1"/>
  <c r="BF40" i="8" s="1"/>
  <c r="BF41" i="8" s="1"/>
  <c r="BF42" i="8" s="1"/>
  <c r="BF43" i="8" s="1"/>
  <c r="BF44" i="8" s="1"/>
  <c r="BF45" i="8" s="1"/>
  <c r="BF46" i="8" s="1"/>
  <c r="BF47" i="8" s="1"/>
  <c r="BF48" i="8" s="1"/>
  <c r="BF49" i="8" s="1"/>
  <c r="BF50" i="8" s="1"/>
  <c r="BF51" i="8" s="1"/>
  <c r="BF52" i="8" s="1"/>
  <c r="BF53" i="8" s="1"/>
  <c r="BF54" i="8" s="1"/>
  <c r="AT46" i="8"/>
  <c r="AV53" i="8"/>
  <c r="AE52" i="8"/>
  <c r="AF52" i="8"/>
  <c r="AT52" i="8"/>
  <c r="AV51" i="8"/>
  <c r="AE50" i="8"/>
  <c r="AF50" i="8"/>
  <c r="AF48" i="8"/>
  <c r="AE48" i="8"/>
  <c r="AV47" i="8"/>
  <c r="AF44" i="8"/>
  <c r="AE44" i="8"/>
  <c r="AE42" i="8"/>
  <c r="AF42" i="8"/>
  <c r="AE40" i="8"/>
  <c r="AF40" i="8"/>
  <c r="AE36" i="8"/>
  <c r="AF36" i="8"/>
  <c r="AT34" i="8"/>
  <c r="AV33" i="8"/>
  <c r="AT32" i="8"/>
  <c r="AV31" i="8"/>
  <c r="AT28" i="8"/>
  <c r="AV27" i="8"/>
  <c r="E9" i="6"/>
  <c r="E8" i="6"/>
  <c r="E7" i="6"/>
  <c r="E6" i="6"/>
  <c r="BA41" i="8"/>
  <c r="AH27" i="8"/>
  <c r="BA27" i="8"/>
  <c r="AH47" i="8"/>
  <c r="BA47" i="8"/>
  <c r="AH31" i="8"/>
  <c r="BA31" i="8"/>
  <c r="AH53" i="8"/>
  <c r="BA53" i="8"/>
  <c r="AH39" i="8"/>
  <c r="BA39" i="8"/>
  <c r="AH29" i="8"/>
  <c r="BA29" i="8"/>
  <c r="AH45" i="8"/>
  <c r="BA45" i="8"/>
  <c r="AH49" i="8"/>
  <c r="BA49" i="8"/>
  <c r="AH51" i="8"/>
  <c r="BA51" i="8"/>
  <c r="AH25" i="8"/>
  <c r="BA25" i="8"/>
  <c r="AH37" i="8"/>
  <c r="BA37" i="8"/>
  <c r="AH35" i="8"/>
  <c r="BA35" i="8"/>
  <c r="AH43" i="8"/>
  <c r="BA43" i="8"/>
  <c r="AH23" i="8"/>
  <c r="BA23" i="8"/>
  <c r="AH19" i="8"/>
  <c r="BA19" i="8"/>
  <c r="AH33" i="8"/>
  <c r="BA33" i="8"/>
  <c r="AH21" i="8"/>
  <c r="AL21" i="8" s="1"/>
  <c r="BA21" i="8"/>
  <c r="AH17" i="8"/>
  <c r="AM40" i="8"/>
  <c r="AM39" i="8"/>
  <c r="AU41" i="8"/>
  <c r="AV41" i="8"/>
  <c r="AA36" i="8"/>
  <c r="AS36" i="8"/>
  <c r="Z36" i="8"/>
  <c r="AC36" i="8"/>
  <c r="AR36" i="8"/>
  <c r="AJ36" i="8"/>
  <c r="W36" i="8"/>
  <c r="AQ36" i="8"/>
  <c r="AP36" i="8"/>
  <c r="AO36" i="8"/>
  <c r="AD36" i="8"/>
  <c r="AB36" i="8"/>
  <c r="AP48" i="8"/>
  <c r="AO48" i="8"/>
  <c r="AD48" i="8"/>
  <c r="AC48" i="8"/>
  <c r="AB48" i="8"/>
  <c r="AA48" i="8"/>
  <c r="AR48" i="8"/>
  <c r="AJ48" i="8"/>
  <c r="W48" i="8"/>
  <c r="AS48" i="8"/>
  <c r="Z48" i="8"/>
  <c r="AQ48" i="8"/>
  <c r="AU49" i="8"/>
  <c r="AV49" i="8"/>
  <c r="AA44" i="8"/>
  <c r="AS44" i="8"/>
  <c r="Z44" i="8"/>
  <c r="AC44" i="8"/>
  <c r="AR44" i="8"/>
  <c r="AJ44" i="8"/>
  <c r="W44" i="8"/>
  <c r="AQ44" i="8"/>
  <c r="AP44" i="8"/>
  <c r="AO44" i="8"/>
  <c r="AD44" i="8"/>
  <c r="AB44" i="8"/>
  <c r="AR50" i="8"/>
  <c r="AJ50" i="8"/>
  <c r="W50" i="8"/>
  <c r="AQ50" i="8"/>
  <c r="AP50" i="8"/>
  <c r="AO50" i="8"/>
  <c r="AD50" i="8"/>
  <c r="AC50" i="8"/>
  <c r="AB50" i="8"/>
  <c r="AA50" i="8"/>
  <c r="AS50" i="8"/>
  <c r="Z50" i="8"/>
  <c r="AR42" i="8"/>
  <c r="AJ42" i="8"/>
  <c r="AQ42" i="8"/>
  <c r="AP42" i="8"/>
  <c r="AO42" i="8"/>
  <c r="AA42" i="8"/>
  <c r="AC42" i="8"/>
  <c r="AB42" i="8"/>
  <c r="AS42" i="8"/>
  <c r="Z42" i="8"/>
  <c r="AA52" i="8"/>
  <c r="AS52" i="8"/>
  <c r="Z52" i="8"/>
  <c r="AR52" i="8"/>
  <c r="AJ52" i="8"/>
  <c r="W52" i="8"/>
  <c r="AQ52" i="8"/>
  <c r="AP52" i="8"/>
  <c r="AC52" i="8"/>
  <c r="AO52" i="8"/>
  <c r="AD52" i="8"/>
  <c r="AB52" i="8"/>
  <c r="AO40" i="8"/>
  <c r="AD40" i="8"/>
  <c r="AC40" i="8"/>
  <c r="AB40" i="8"/>
  <c r="AR40" i="8"/>
  <c r="AJ40" i="8"/>
  <c r="W40" i="8"/>
  <c r="AA40" i="8"/>
  <c r="AS40" i="8"/>
  <c r="Z40" i="8"/>
  <c r="AQ40" i="8"/>
  <c r="AP40" i="8"/>
  <c r="AV43" i="8"/>
  <c r="AT40" i="8"/>
  <c r="AV39" i="8"/>
  <c r="AT36" i="8"/>
  <c r="AV35" i="8"/>
  <c r="AT30" i="8"/>
  <c r="AV29" i="8"/>
  <c r="AV25" i="8"/>
  <c r="AV21" i="8"/>
  <c r="AV23" i="8"/>
  <c r="AV19" i="8"/>
  <c r="K120" i="14"/>
  <c r="K118" i="14"/>
  <c r="K117" i="14"/>
  <c r="I115" i="14"/>
  <c r="G115" i="14"/>
  <c r="F115" i="14"/>
  <c r="E115" i="14"/>
  <c r="I114" i="14"/>
  <c r="G114" i="14"/>
  <c r="F114" i="14"/>
  <c r="E114" i="14"/>
  <c r="AU15" i="8" l="1"/>
  <c r="AX16" i="8"/>
  <c r="BC15" i="8"/>
  <c r="D9" i="6"/>
  <c r="I9" i="6" s="1"/>
  <c r="D7" i="6"/>
  <c r="I7" i="6" s="1"/>
  <c r="D8" i="6"/>
  <c r="I8" i="6" s="1"/>
  <c r="BD15" i="8"/>
  <c r="B37" i="4" s="1"/>
  <c r="BC16" i="8"/>
  <c r="BC20" i="8"/>
  <c r="BC24" i="8"/>
  <c r="BC28" i="8"/>
  <c r="BC32" i="8"/>
  <c r="BC36" i="8"/>
  <c r="BC40" i="8"/>
  <c r="BC44" i="8"/>
  <c r="BC48" i="8"/>
  <c r="BC52" i="8"/>
  <c r="BD16" i="8"/>
  <c r="B38" i="4" s="1"/>
  <c r="BD20" i="8"/>
  <c r="B42" i="4" s="1"/>
  <c r="BD24" i="8"/>
  <c r="B46" i="4" s="1"/>
  <c r="BD28" i="8"/>
  <c r="B50" i="4" s="1"/>
  <c r="BD32" i="8"/>
  <c r="B54" i="4" s="1"/>
  <c r="BD36" i="8"/>
  <c r="BD40" i="8"/>
  <c r="BD44" i="8"/>
  <c r="BD48" i="8"/>
  <c r="BD52" i="8"/>
  <c r="BC43" i="8"/>
  <c r="BC17" i="8"/>
  <c r="BC21" i="8"/>
  <c r="BC25" i="8"/>
  <c r="BC29" i="8"/>
  <c r="BC33" i="8"/>
  <c r="BC37" i="8"/>
  <c r="BC41" i="8"/>
  <c r="BC45" i="8"/>
  <c r="BC49" i="8"/>
  <c r="BC53" i="8"/>
  <c r="BC23" i="8"/>
  <c r="BC35" i="8"/>
  <c r="BC47" i="8"/>
  <c r="BD17" i="8"/>
  <c r="B39" i="4" s="1"/>
  <c r="BD21" i="8"/>
  <c r="B43" i="4" s="1"/>
  <c r="BD25" i="8"/>
  <c r="B47" i="4" s="1"/>
  <c r="BD29" i="8"/>
  <c r="B51" i="4" s="1"/>
  <c r="BD33" i="8"/>
  <c r="B55" i="4" s="1"/>
  <c r="BD37" i="8"/>
  <c r="BD41" i="8"/>
  <c r="BD45" i="8"/>
  <c r="BD49" i="8"/>
  <c r="BD53" i="8"/>
  <c r="BC18" i="8"/>
  <c r="BC22" i="8"/>
  <c r="BC26" i="8"/>
  <c r="BC30" i="8"/>
  <c r="BC34" i="8"/>
  <c r="BC38" i="8"/>
  <c r="BC42" i="8"/>
  <c r="BC46" i="8"/>
  <c r="BC50" i="8"/>
  <c r="BC54" i="8"/>
  <c r="BC31" i="8"/>
  <c r="BD18" i="8"/>
  <c r="B40" i="4" s="1"/>
  <c r="BD22" i="8"/>
  <c r="B44" i="4" s="1"/>
  <c r="BD26" i="8"/>
  <c r="B48" i="4" s="1"/>
  <c r="BD30" i="8"/>
  <c r="B52" i="4" s="1"/>
  <c r="BD34" i="8"/>
  <c r="B56" i="4" s="1"/>
  <c r="BD38" i="8"/>
  <c r="BD42" i="8"/>
  <c r="BD46" i="8"/>
  <c r="BD50" i="8"/>
  <c r="BD54" i="8"/>
  <c r="BC19" i="8"/>
  <c r="BC39" i="8"/>
  <c r="BC51" i="8"/>
  <c r="BD19" i="8"/>
  <c r="B41" i="4" s="1"/>
  <c r="BD23" i="8"/>
  <c r="B45" i="4" s="1"/>
  <c r="BD27" i="8"/>
  <c r="B49" i="4" s="1"/>
  <c r="BD31" i="8"/>
  <c r="B53" i="4" s="1"/>
  <c r="BD35" i="8"/>
  <c r="BD39" i="8"/>
  <c r="BD43" i="8"/>
  <c r="BD47" i="8"/>
  <c r="BD51" i="8"/>
  <c r="BC27" i="8"/>
  <c r="BC14" i="8"/>
  <c r="AV15" i="8"/>
  <c r="AL17" i="8"/>
  <c r="AL37" i="8"/>
  <c r="AL22" i="8"/>
  <c r="AL42" i="8"/>
  <c r="B82" i="6"/>
  <c r="K82" i="6"/>
  <c r="P82" i="6" s="1"/>
  <c r="X82" i="6"/>
  <c r="Y82" i="6"/>
  <c r="Z82" i="6"/>
  <c r="AA82" i="6"/>
  <c r="AB82" i="6"/>
  <c r="B83" i="6"/>
  <c r="O83" i="6" s="1"/>
  <c r="X83" i="6"/>
  <c r="Y83" i="6"/>
  <c r="Z83" i="6"/>
  <c r="AA83" i="6"/>
  <c r="AB83" i="6"/>
  <c r="B84" i="6"/>
  <c r="K84" i="6"/>
  <c r="P84" i="6" s="1"/>
  <c r="X84" i="6"/>
  <c r="Y84" i="6"/>
  <c r="Z84" i="6"/>
  <c r="AA84" i="6"/>
  <c r="AB84" i="6"/>
  <c r="B80" i="6"/>
  <c r="X80" i="6"/>
  <c r="Y80" i="6"/>
  <c r="Z80" i="6"/>
  <c r="AA80" i="6"/>
  <c r="AB80" i="6"/>
  <c r="B81" i="6"/>
  <c r="O81" i="6" s="1"/>
  <c r="K81" i="6"/>
  <c r="P81" i="6" s="1"/>
  <c r="X81" i="6"/>
  <c r="Y81" i="6"/>
  <c r="Z81" i="6"/>
  <c r="AA81" i="6"/>
  <c r="AB81" i="6"/>
  <c r="C10" i="6"/>
  <c r="C11" i="6"/>
  <c r="C12" i="6"/>
  <c r="C13" i="6"/>
  <c r="C14" i="6"/>
  <c r="C15" i="6"/>
  <c r="C16" i="6"/>
  <c r="C17" i="6"/>
  <c r="C18" i="6"/>
  <c r="C19" i="6"/>
  <c r="C20" i="6"/>
  <c r="C21" i="6"/>
  <c r="C22" i="6"/>
  <c r="C23" i="6"/>
  <c r="C24" i="6"/>
  <c r="K25" i="6"/>
  <c r="P25" i="6" s="1"/>
  <c r="K26" i="6"/>
  <c r="P26" i="6" s="1"/>
  <c r="K27" i="6"/>
  <c r="P27" i="6" s="1"/>
  <c r="K28" i="6"/>
  <c r="P28" i="6" s="1"/>
  <c r="K29" i="6"/>
  <c r="P29" i="6" s="1"/>
  <c r="K30" i="6"/>
  <c r="P30" i="6" s="1"/>
  <c r="K31" i="6"/>
  <c r="P31" i="6" s="1"/>
  <c r="K32" i="6"/>
  <c r="P32" i="6" s="1"/>
  <c r="K33" i="6"/>
  <c r="P33" i="6" s="1"/>
  <c r="K34" i="6"/>
  <c r="P34" i="6" s="1"/>
  <c r="K35" i="6"/>
  <c r="P35" i="6" s="1"/>
  <c r="K36" i="6"/>
  <c r="P36" i="6" s="1"/>
  <c r="K37" i="6"/>
  <c r="P37" i="6" s="1"/>
  <c r="K38" i="6"/>
  <c r="P38" i="6" s="1"/>
  <c r="K39" i="6"/>
  <c r="P39" i="6" s="1"/>
  <c r="K40" i="6"/>
  <c r="P40" i="6" s="1"/>
  <c r="K41" i="6"/>
  <c r="P41" i="6" s="1"/>
  <c r="K42" i="6"/>
  <c r="P42" i="6" s="1"/>
  <c r="K43" i="6"/>
  <c r="P43" i="6" s="1"/>
  <c r="K44" i="6"/>
  <c r="P44" i="6" s="1"/>
  <c r="K45" i="6"/>
  <c r="P45" i="6" s="1"/>
  <c r="K46" i="6"/>
  <c r="P46" i="6" s="1"/>
  <c r="K47" i="6"/>
  <c r="P47" i="6" s="1"/>
  <c r="K48" i="6"/>
  <c r="P48" i="6" s="1"/>
  <c r="K49" i="6"/>
  <c r="P49" i="6" s="1"/>
  <c r="K50" i="6"/>
  <c r="P50" i="6" s="1"/>
  <c r="K51" i="6"/>
  <c r="P51" i="6" s="1"/>
  <c r="K52" i="6"/>
  <c r="P52" i="6" s="1"/>
  <c r="K53" i="6"/>
  <c r="P53" i="6" s="1"/>
  <c r="K54" i="6"/>
  <c r="P54" i="6" s="1"/>
  <c r="K55" i="6"/>
  <c r="P55" i="6" s="1"/>
  <c r="K56" i="6"/>
  <c r="P56" i="6" s="1"/>
  <c r="K57" i="6"/>
  <c r="P57" i="6" s="1"/>
  <c r="K58" i="6"/>
  <c r="P58" i="6" s="1"/>
  <c r="K59" i="6"/>
  <c r="P59" i="6" s="1"/>
  <c r="K60" i="6"/>
  <c r="P60" i="6" s="1"/>
  <c r="K61" i="6"/>
  <c r="P61" i="6" s="1"/>
  <c r="K62" i="6"/>
  <c r="P62" i="6" s="1"/>
  <c r="K63" i="6"/>
  <c r="P63" i="6" s="1"/>
  <c r="K64" i="6"/>
  <c r="P64" i="6" s="1"/>
  <c r="K65" i="6"/>
  <c r="P65" i="6" s="1"/>
  <c r="K66" i="6"/>
  <c r="P66" i="6" s="1"/>
  <c r="K67" i="6"/>
  <c r="P67" i="6" s="1"/>
  <c r="K68" i="6"/>
  <c r="P68" i="6" s="1"/>
  <c r="K69" i="6"/>
  <c r="P69" i="6" s="1"/>
  <c r="K70" i="6"/>
  <c r="P70" i="6" s="1"/>
  <c r="K71" i="6"/>
  <c r="P71" i="6" s="1"/>
  <c r="K72" i="6"/>
  <c r="P72" i="6" s="1"/>
  <c r="K73" i="6"/>
  <c r="P73" i="6" s="1"/>
  <c r="K74" i="6"/>
  <c r="P74" i="6" s="1"/>
  <c r="K75" i="6"/>
  <c r="P75" i="6" s="1"/>
  <c r="K76" i="6"/>
  <c r="P76" i="6" s="1"/>
  <c r="K77" i="6"/>
  <c r="P77" i="6" s="1"/>
  <c r="K78" i="6"/>
  <c r="P78" i="6" s="1"/>
  <c r="K79" i="6"/>
  <c r="P79" i="6" s="1"/>
  <c r="K85" i="6"/>
  <c r="P85" i="6" s="1"/>
  <c r="G31" i="5"/>
  <c r="I31" i="5"/>
  <c r="G32" i="5"/>
  <c r="I32" i="5"/>
  <c r="V17" i="8"/>
  <c r="M17" i="8" s="1"/>
  <c r="R30" i="8"/>
  <c r="R28" i="8"/>
  <c r="R26" i="8"/>
  <c r="R24" i="8"/>
  <c r="R22" i="8"/>
  <c r="R20" i="8"/>
  <c r="R18" i="8"/>
  <c r="G50" i="2"/>
  <c r="F50" i="2"/>
  <c r="E50" i="2"/>
  <c r="D50" i="2"/>
  <c r="C50" i="2"/>
  <c r="B50" i="2"/>
  <c r="I49" i="2"/>
  <c r="H49" i="2"/>
  <c r="G49" i="2"/>
  <c r="F49" i="2"/>
  <c r="E49" i="2"/>
  <c r="D49" i="2"/>
  <c r="C49" i="2"/>
  <c r="B49" i="2"/>
  <c r="G48" i="2"/>
  <c r="F48" i="2"/>
  <c r="E48" i="2"/>
  <c r="D48" i="2"/>
  <c r="C48" i="2"/>
  <c r="B48" i="2"/>
  <c r="G46" i="2"/>
  <c r="F46" i="2"/>
  <c r="E46" i="2"/>
  <c r="D46" i="2"/>
  <c r="C46" i="2"/>
  <c r="B46" i="2"/>
  <c r="I45" i="2"/>
  <c r="H45" i="2"/>
  <c r="G45" i="2"/>
  <c r="F45" i="2"/>
  <c r="E45" i="2"/>
  <c r="D45" i="2"/>
  <c r="C45" i="2"/>
  <c r="B45" i="2"/>
  <c r="G44" i="2"/>
  <c r="F44" i="2"/>
  <c r="E44" i="2"/>
  <c r="D44" i="2"/>
  <c r="C44" i="2"/>
  <c r="B44" i="2"/>
  <c r="G43" i="2"/>
  <c r="F43" i="2"/>
  <c r="E43" i="2"/>
  <c r="D43" i="2"/>
  <c r="C43" i="2"/>
  <c r="B43" i="2"/>
  <c r="I42" i="2"/>
  <c r="H42" i="2"/>
  <c r="G42" i="2"/>
  <c r="F42" i="2"/>
  <c r="E42" i="2"/>
  <c r="D42" i="2"/>
  <c r="C42" i="2"/>
  <c r="B42" i="2"/>
  <c r="K41" i="2"/>
  <c r="J41" i="2"/>
  <c r="I41" i="2"/>
  <c r="H41" i="2"/>
  <c r="G41" i="2"/>
  <c r="F41" i="2"/>
  <c r="E41" i="2"/>
  <c r="D41" i="2"/>
  <c r="C41" i="2"/>
  <c r="B41" i="2"/>
  <c r="K40" i="2"/>
  <c r="I40" i="2"/>
  <c r="H40" i="2"/>
  <c r="G40" i="2"/>
  <c r="F40" i="2"/>
  <c r="E40" i="2"/>
  <c r="D40" i="2"/>
  <c r="C40" i="2"/>
  <c r="B40" i="2"/>
  <c r="K39" i="2"/>
  <c r="J39" i="2"/>
  <c r="I39" i="2"/>
  <c r="H39" i="2"/>
  <c r="G39" i="2"/>
  <c r="F39" i="2"/>
  <c r="E39" i="2"/>
  <c r="D39" i="2"/>
  <c r="C39" i="2"/>
  <c r="B39" i="2"/>
  <c r="K38" i="2"/>
  <c r="I38" i="2"/>
  <c r="H38" i="2"/>
  <c r="G38" i="2"/>
  <c r="F38" i="2"/>
  <c r="E38" i="2"/>
  <c r="D38" i="2"/>
  <c r="C38" i="2"/>
  <c r="B38" i="2"/>
  <c r="K37" i="2"/>
  <c r="J37" i="2"/>
  <c r="I37" i="2"/>
  <c r="H37" i="2"/>
  <c r="G37" i="2"/>
  <c r="F37" i="2"/>
  <c r="E37" i="2"/>
  <c r="D37" i="2"/>
  <c r="C37" i="2"/>
  <c r="B37" i="2"/>
  <c r="G36" i="2"/>
  <c r="F36" i="2"/>
  <c r="E36" i="2"/>
  <c r="D36" i="2"/>
  <c r="C36" i="2"/>
  <c r="B36" i="2"/>
  <c r="I35" i="2"/>
  <c r="H35" i="2"/>
  <c r="G35" i="2"/>
  <c r="F35" i="2"/>
  <c r="E35" i="2"/>
  <c r="D35" i="2"/>
  <c r="C35" i="2"/>
  <c r="B35" i="2"/>
  <c r="G34" i="2"/>
  <c r="F34" i="2"/>
  <c r="E34" i="2"/>
  <c r="D34" i="2"/>
  <c r="C34" i="2"/>
  <c r="B34" i="2"/>
  <c r="I33" i="2"/>
  <c r="H33" i="2"/>
  <c r="G33" i="2"/>
  <c r="F33" i="2"/>
  <c r="E33" i="2"/>
  <c r="D33" i="2"/>
  <c r="C33" i="2"/>
  <c r="B33" i="2"/>
  <c r="G32" i="2"/>
  <c r="F32" i="2"/>
  <c r="E32" i="2"/>
  <c r="D32" i="2"/>
  <c r="C32" i="2"/>
  <c r="B32" i="2"/>
  <c r="I31" i="2"/>
  <c r="H31" i="2"/>
  <c r="G31" i="2"/>
  <c r="F31" i="2"/>
  <c r="E31" i="2"/>
  <c r="D31" i="2"/>
  <c r="C31" i="2"/>
  <c r="B31" i="2"/>
  <c r="G30" i="2"/>
  <c r="F30" i="2"/>
  <c r="E30" i="2"/>
  <c r="D30" i="2"/>
  <c r="C30" i="2"/>
  <c r="B30" i="2"/>
  <c r="I29" i="2"/>
  <c r="H29" i="2"/>
  <c r="G29" i="2"/>
  <c r="F29" i="2"/>
  <c r="E29" i="2"/>
  <c r="D29" i="2"/>
  <c r="C29" i="2"/>
  <c r="B29" i="2"/>
  <c r="K28" i="2"/>
  <c r="J28" i="2"/>
  <c r="I28" i="2"/>
  <c r="H28" i="2"/>
  <c r="G28" i="2"/>
  <c r="F28" i="2"/>
  <c r="E28" i="2"/>
  <c r="D28" i="2"/>
  <c r="C28" i="2"/>
  <c r="B28" i="2"/>
  <c r="I27" i="2"/>
  <c r="H27" i="2"/>
  <c r="G27" i="2"/>
  <c r="F27" i="2"/>
  <c r="E27" i="2"/>
  <c r="D27" i="2"/>
  <c r="C27" i="2"/>
  <c r="B27" i="2"/>
  <c r="K26" i="2"/>
  <c r="J26" i="2"/>
  <c r="I26" i="2"/>
  <c r="H26" i="2"/>
  <c r="G26" i="2"/>
  <c r="F26" i="2"/>
  <c r="E26" i="2"/>
  <c r="D26" i="2"/>
  <c r="C26" i="2"/>
  <c r="B26" i="2"/>
  <c r="G25" i="2"/>
  <c r="F25" i="2"/>
  <c r="E25" i="2"/>
  <c r="D25" i="2"/>
  <c r="C25" i="2"/>
  <c r="B25" i="2"/>
  <c r="I24" i="2"/>
  <c r="H24" i="2"/>
  <c r="G24" i="2"/>
  <c r="F24" i="2"/>
  <c r="E24" i="2"/>
  <c r="D24" i="2"/>
  <c r="C24" i="2"/>
  <c r="B24" i="2"/>
  <c r="G23" i="2"/>
  <c r="F23" i="2"/>
  <c r="E23" i="2"/>
  <c r="D23" i="2"/>
  <c r="C23" i="2"/>
  <c r="B23" i="2"/>
  <c r="G22" i="2"/>
  <c r="F22" i="2"/>
  <c r="E22" i="2"/>
  <c r="D22" i="2"/>
  <c r="C22" i="2"/>
  <c r="B22" i="2"/>
  <c r="G21" i="2"/>
  <c r="F21" i="2"/>
  <c r="E21" i="2"/>
  <c r="D21" i="2"/>
  <c r="C21" i="2"/>
  <c r="B21" i="2"/>
  <c r="I20" i="2"/>
  <c r="H20" i="2"/>
  <c r="G20" i="2"/>
  <c r="F20" i="2"/>
  <c r="E20" i="2"/>
  <c r="D20" i="2"/>
  <c r="C20" i="2"/>
  <c r="B20" i="2"/>
  <c r="G19" i="2"/>
  <c r="F19" i="2"/>
  <c r="E19" i="2"/>
  <c r="D19" i="2"/>
  <c r="C19" i="2"/>
  <c r="B19" i="2"/>
  <c r="G18" i="2"/>
  <c r="F18" i="2"/>
  <c r="E18" i="2"/>
  <c r="D18" i="2"/>
  <c r="C18" i="2"/>
  <c r="B18" i="2"/>
  <c r="I17" i="2"/>
  <c r="H17" i="2"/>
  <c r="G17" i="2"/>
  <c r="F17" i="2"/>
  <c r="E17" i="2"/>
  <c r="D17" i="2"/>
  <c r="C17" i="2"/>
  <c r="B17" i="2"/>
  <c r="G16" i="2"/>
  <c r="F16" i="2"/>
  <c r="E16" i="2"/>
  <c r="D16" i="2"/>
  <c r="C16" i="2"/>
  <c r="B16" i="2"/>
  <c r="I15" i="2"/>
  <c r="H15" i="2"/>
  <c r="G15" i="2"/>
  <c r="F15" i="2"/>
  <c r="E15" i="2"/>
  <c r="D15" i="2"/>
  <c r="C15" i="2"/>
  <c r="B15" i="2"/>
  <c r="G14" i="2"/>
  <c r="F14" i="2"/>
  <c r="E14" i="2"/>
  <c r="D14" i="2"/>
  <c r="C14" i="2"/>
  <c r="B14" i="2"/>
  <c r="I13" i="2"/>
  <c r="H13" i="2"/>
  <c r="G13" i="2"/>
  <c r="F13" i="2"/>
  <c r="E13" i="2"/>
  <c r="D13" i="2"/>
  <c r="C13" i="2"/>
  <c r="B13" i="2"/>
  <c r="G12" i="2"/>
  <c r="F12" i="2"/>
  <c r="E12" i="2"/>
  <c r="D12" i="2"/>
  <c r="C12" i="2"/>
  <c r="B12" i="2"/>
  <c r="I11" i="2"/>
  <c r="H11" i="2"/>
  <c r="G11" i="2"/>
  <c r="F11" i="2"/>
  <c r="E11" i="2"/>
  <c r="D11" i="2"/>
  <c r="C11" i="2"/>
  <c r="B11" i="2"/>
  <c r="G10" i="2"/>
  <c r="F10" i="2"/>
  <c r="E10" i="2"/>
  <c r="D10" i="2"/>
  <c r="C10" i="2"/>
  <c r="B10" i="2"/>
  <c r="I9" i="2"/>
  <c r="H9" i="2"/>
  <c r="G9" i="2"/>
  <c r="F9" i="2"/>
  <c r="E9" i="2"/>
  <c r="D9" i="2"/>
  <c r="C9" i="2"/>
  <c r="B9" i="2"/>
  <c r="K8" i="2"/>
  <c r="J8" i="2"/>
  <c r="I8" i="2"/>
  <c r="H8" i="2"/>
  <c r="G8" i="2"/>
  <c r="F8" i="2"/>
  <c r="E8" i="2"/>
  <c r="D8" i="2"/>
  <c r="C8" i="2"/>
  <c r="B8" i="2"/>
  <c r="I7" i="2"/>
  <c r="H7" i="2"/>
  <c r="G7" i="2"/>
  <c r="F7" i="2"/>
  <c r="E7" i="2"/>
  <c r="D7" i="2"/>
  <c r="C7" i="2"/>
  <c r="B7" i="2"/>
  <c r="K6" i="2"/>
  <c r="G6" i="2"/>
  <c r="F6" i="2"/>
  <c r="E6" i="2"/>
  <c r="D6" i="2"/>
  <c r="C6" i="2"/>
  <c r="B6" i="2"/>
  <c r="K5" i="2"/>
  <c r="I5" i="2"/>
  <c r="H5" i="2"/>
  <c r="G5" i="2"/>
  <c r="F5" i="2"/>
  <c r="E5" i="2"/>
  <c r="D5" i="2"/>
  <c r="C5" i="2"/>
  <c r="B5" i="2"/>
  <c r="B85" i="6"/>
  <c r="O85" i="6" s="1"/>
  <c r="B79" i="6"/>
  <c r="O79" i="6" s="1"/>
  <c r="B78" i="6"/>
  <c r="O78" i="6" s="1"/>
  <c r="B77" i="6"/>
  <c r="O77" i="6" s="1"/>
  <c r="B76" i="6"/>
  <c r="O76" i="6" s="1"/>
  <c r="B75" i="6"/>
  <c r="O75" i="6" s="1"/>
  <c r="B74" i="6"/>
  <c r="O74" i="6" s="1"/>
  <c r="B73" i="6"/>
  <c r="O73" i="6" s="1"/>
  <c r="B72" i="6"/>
  <c r="O72" i="6" s="1"/>
  <c r="B71" i="6"/>
  <c r="O71" i="6" s="1"/>
  <c r="B70" i="6"/>
  <c r="O70" i="6" s="1"/>
  <c r="B69" i="6"/>
  <c r="O69" i="6" s="1"/>
  <c r="B68" i="6"/>
  <c r="O68" i="6" s="1"/>
  <c r="B67" i="6"/>
  <c r="O67" i="6" s="1"/>
  <c r="B66" i="6"/>
  <c r="O66" i="6" s="1"/>
  <c r="B65" i="6"/>
  <c r="O65" i="6" s="1"/>
  <c r="B64" i="6"/>
  <c r="O64" i="6" s="1"/>
  <c r="B63" i="6"/>
  <c r="O63" i="6" s="1"/>
  <c r="B62" i="6"/>
  <c r="O62" i="6" s="1"/>
  <c r="B61" i="6"/>
  <c r="O61" i="6" s="1"/>
  <c r="B60" i="6"/>
  <c r="O60" i="6" s="1"/>
  <c r="B59" i="6"/>
  <c r="O59" i="6" s="1"/>
  <c r="B58" i="6"/>
  <c r="O58" i="6" s="1"/>
  <c r="B57" i="6"/>
  <c r="O57" i="6" s="1"/>
  <c r="B56" i="6"/>
  <c r="O56" i="6" s="1"/>
  <c r="B55" i="6"/>
  <c r="O55" i="6" s="1"/>
  <c r="B54" i="6"/>
  <c r="O54" i="6" s="1"/>
  <c r="B53" i="6"/>
  <c r="O53" i="6" s="1"/>
  <c r="B52" i="6"/>
  <c r="O52" i="6" s="1"/>
  <c r="B51" i="6"/>
  <c r="O51" i="6" s="1"/>
  <c r="B50" i="6"/>
  <c r="O50" i="6" s="1"/>
  <c r="B49" i="6"/>
  <c r="O49" i="6" s="1"/>
  <c r="B48" i="6"/>
  <c r="O48" i="6" s="1"/>
  <c r="B47" i="6"/>
  <c r="O47" i="6" s="1"/>
  <c r="B46" i="6"/>
  <c r="O46" i="6" s="1"/>
  <c r="B45" i="6"/>
  <c r="O45" i="6" s="1"/>
  <c r="B44" i="6"/>
  <c r="O44" i="6" s="1"/>
  <c r="B43" i="6"/>
  <c r="O43" i="6" s="1"/>
  <c r="B42" i="6"/>
  <c r="O42" i="6" s="1"/>
  <c r="B41" i="6"/>
  <c r="O41" i="6" s="1"/>
  <c r="B40" i="6"/>
  <c r="O40" i="6" s="1"/>
  <c r="B39" i="6"/>
  <c r="O39" i="6" s="1"/>
  <c r="B38" i="6"/>
  <c r="O38" i="6" s="1"/>
  <c r="B37" i="6"/>
  <c r="O37" i="6" s="1"/>
  <c r="B36" i="6"/>
  <c r="O36" i="6" s="1"/>
  <c r="B35" i="6"/>
  <c r="O35" i="6" s="1"/>
  <c r="B34" i="6"/>
  <c r="O34" i="6" s="1"/>
  <c r="B33" i="6"/>
  <c r="O33" i="6" s="1"/>
  <c r="B32" i="6"/>
  <c r="O32" i="6" s="1"/>
  <c r="B31" i="6"/>
  <c r="O31" i="6" s="1"/>
  <c r="B30" i="6"/>
  <c r="O30" i="6" s="1"/>
  <c r="B29" i="6"/>
  <c r="O29" i="6" s="1"/>
  <c r="B28" i="6"/>
  <c r="O28" i="6" s="1"/>
  <c r="B27" i="6"/>
  <c r="O27" i="6" s="1"/>
  <c r="B26" i="6"/>
  <c r="O26" i="6" s="1"/>
  <c r="B25" i="6"/>
  <c r="O25" i="6" s="1"/>
  <c r="B24" i="6"/>
  <c r="O24" i="6" s="1"/>
  <c r="B23" i="6"/>
  <c r="O23" i="6" s="1"/>
  <c r="B22" i="6"/>
  <c r="O22" i="6" s="1"/>
  <c r="B21" i="6"/>
  <c r="O21" i="6" s="1"/>
  <c r="B20" i="6"/>
  <c r="O20" i="6" s="1"/>
  <c r="B19" i="6"/>
  <c r="O19" i="6" s="1"/>
  <c r="B18" i="6"/>
  <c r="O18" i="6" s="1"/>
  <c r="B17" i="6"/>
  <c r="O17" i="6" s="1"/>
  <c r="B16" i="6"/>
  <c r="O16" i="6" s="1"/>
  <c r="B15" i="6"/>
  <c r="O15" i="6" s="1"/>
  <c r="B14" i="6"/>
  <c r="O14" i="6" s="1"/>
  <c r="B13" i="6"/>
  <c r="O13" i="6" s="1"/>
  <c r="B12" i="6"/>
  <c r="O12" i="6" s="1"/>
  <c r="B11" i="6"/>
  <c r="O11" i="6" s="1"/>
  <c r="B10" i="6"/>
  <c r="O10" i="6" s="1"/>
  <c r="C8" i="6"/>
  <c r="B7" i="6"/>
  <c r="O7" i="6" s="1"/>
  <c r="C9" i="6"/>
  <c r="S6" i="2"/>
  <c r="P6" i="2" s="1"/>
  <c r="T6" i="2"/>
  <c r="S7" i="2"/>
  <c r="P7" i="2" s="1"/>
  <c r="T7" i="2"/>
  <c r="S8" i="2"/>
  <c r="P8" i="2" s="1"/>
  <c r="T8" i="2"/>
  <c r="S9" i="2"/>
  <c r="P9" i="2" s="1"/>
  <c r="T9" i="2"/>
  <c r="S10" i="2"/>
  <c r="P10" i="2" s="1"/>
  <c r="T10" i="2"/>
  <c r="S11" i="2"/>
  <c r="P11" i="2" s="1"/>
  <c r="T11" i="2"/>
  <c r="S12" i="2"/>
  <c r="P12" i="2" s="1"/>
  <c r="T12" i="2"/>
  <c r="S13" i="2"/>
  <c r="P13" i="2" s="1"/>
  <c r="T13" i="2"/>
  <c r="S14" i="2"/>
  <c r="P14" i="2" s="1"/>
  <c r="T14" i="2"/>
  <c r="S15" i="2"/>
  <c r="P15" i="2" s="1"/>
  <c r="T15" i="2"/>
  <c r="S16" i="2"/>
  <c r="P16" i="2" s="1"/>
  <c r="T16" i="2"/>
  <c r="S17" i="2"/>
  <c r="P17" i="2" s="1"/>
  <c r="T17" i="2"/>
  <c r="S18" i="2"/>
  <c r="P18" i="2" s="1"/>
  <c r="T18" i="2"/>
  <c r="S19" i="2"/>
  <c r="P19" i="2" s="1"/>
  <c r="T19" i="2"/>
  <c r="S20" i="2"/>
  <c r="P20" i="2" s="1"/>
  <c r="T20" i="2"/>
  <c r="S21" i="2"/>
  <c r="P21" i="2" s="1"/>
  <c r="T21" i="2"/>
  <c r="S22" i="2"/>
  <c r="P22" i="2" s="1"/>
  <c r="T22" i="2"/>
  <c r="S23" i="2"/>
  <c r="P23" i="2" s="1"/>
  <c r="T23" i="2"/>
  <c r="S24" i="2"/>
  <c r="P24" i="2" s="1"/>
  <c r="T24" i="2"/>
  <c r="S25" i="2"/>
  <c r="P25" i="2" s="1"/>
  <c r="T25" i="2"/>
  <c r="S26" i="2"/>
  <c r="P26" i="2" s="1"/>
  <c r="T26" i="2"/>
  <c r="S27" i="2"/>
  <c r="P27" i="2" s="1"/>
  <c r="T27" i="2"/>
  <c r="S28" i="2"/>
  <c r="P28" i="2" s="1"/>
  <c r="T28" i="2"/>
  <c r="S29" i="2"/>
  <c r="P29" i="2" s="1"/>
  <c r="T29" i="2"/>
  <c r="S30" i="2"/>
  <c r="P30" i="2" s="1"/>
  <c r="T30" i="2"/>
  <c r="S31" i="2"/>
  <c r="P31" i="2" s="1"/>
  <c r="T31" i="2"/>
  <c r="S32" i="2"/>
  <c r="P32" i="2" s="1"/>
  <c r="T32" i="2"/>
  <c r="S33" i="2"/>
  <c r="P33" i="2" s="1"/>
  <c r="T33" i="2"/>
  <c r="S34" i="2"/>
  <c r="P34" i="2" s="1"/>
  <c r="T34" i="2"/>
  <c r="S35" i="2"/>
  <c r="P35" i="2" s="1"/>
  <c r="T35" i="2"/>
  <c r="S36" i="2"/>
  <c r="P36" i="2" s="1"/>
  <c r="T36" i="2"/>
  <c r="S37" i="2"/>
  <c r="P37" i="2" s="1"/>
  <c r="T37" i="2"/>
  <c r="S38" i="2"/>
  <c r="P38" i="2" s="1"/>
  <c r="T38" i="2"/>
  <c r="S39" i="2"/>
  <c r="P39" i="2" s="1"/>
  <c r="T39" i="2"/>
  <c r="S40" i="2"/>
  <c r="P40" i="2" s="1"/>
  <c r="T40" i="2"/>
  <c r="S41" i="2"/>
  <c r="P41" i="2" s="1"/>
  <c r="T41" i="2"/>
  <c r="S42" i="2"/>
  <c r="P42" i="2" s="1"/>
  <c r="T42" i="2"/>
  <c r="S43" i="2"/>
  <c r="P43" i="2" s="1"/>
  <c r="T43" i="2"/>
  <c r="S44" i="2"/>
  <c r="P44" i="2" s="1"/>
  <c r="T44" i="2"/>
  <c r="S45" i="2"/>
  <c r="P45" i="2" s="1"/>
  <c r="T45" i="2"/>
  <c r="S46" i="2"/>
  <c r="P46" i="2" s="1"/>
  <c r="T46" i="2"/>
  <c r="S48" i="2"/>
  <c r="P48" i="2" s="1"/>
  <c r="T48" i="2"/>
  <c r="S49" i="2"/>
  <c r="P49" i="2" s="1"/>
  <c r="T49" i="2"/>
  <c r="S50" i="2"/>
  <c r="P50" i="2" s="1"/>
  <c r="T50" i="2"/>
  <c r="T5" i="2"/>
  <c r="S5" i="2"/>
  <c r="I75" i="14"/>
  <c r="I74" i="14"/>
  <c r="G74" i="14"/>
  <c r="G75" i="14"/>
  <c r="F74" i="14"/>
  <c r="F75" i="14"/>
  <c r="E75" i="14"/>
  <c r="E74" i="14"/>
  <c r="K80" i="14"/>
  <c r="K78" i="14"/>
  <c r="K77" i="14"/>
  <c r="K40" i="14"/>
  <c r="K38" i="14"/>
  <c r="K37" i="14"/>
  <c r="V19" i="6" l="1"/>
  <c r="V11" i="6"/>
  <c r="B6" i="6"/>
  <c r="O6" i="6" s="1"/>
  <c r="P5" i="2"/>
  <c r="V23" i="6"/>
  <c r="V15" i="6"/>
  <c r="C6" i="6"/>
  <c r="K6" i="6" s="1"/>
  <c r="P6" i="6" s="1"/>
  <c r="V9" i="6"/>
  <c r="O8" i="8"/>
  <c r="AX15" i="8" s="1"/>
  <c r="N17" i="8"/>
  <c r="AU17" i="8" s="1"/>
  <c r="V10" i="6"/>
  <c r="V17" i="6"/>
  <c r="V28" i="6"/>
  <c r="V60" i="6"/>
  <c r="V29" i="6"/>
  <c r="V61" i="6"/>
  <c r="V30" i="6"/>
  <c r="V62" i="6"/>
  <c r="V35" i="6"/>
  <c r="V67" i="6"/>
  <c r="V32" i="6"/>
  <c r="V64" i="6"/>
  <c r="V33" i="6"/>
  <c r="V65" i="6"/>
  <c r="V34" i="6"/>
  <c r="V66" i="6"/>
  <c r="V39" i="6"/>
  <c r="V71" i="6"/>
  <c r="V36" i="6"/>
  <c r="V68" i="6"/>
  <c r="V37" i="6"/>
  <c r="V69" i="6"/>
  <c r="V38" i="6"/>
  <c r="V70" i="6"/>
  <c r="V43" i="6"/>
  <c r="V75" i="6"/>
  <c r="V40" i="6"/>
  <c r="V72" i="6"/>
  <c r="V41" i="6"/>
  <c r="V73" i="6"/>
  <c r="V42" i="6"/>
  <c r="V74" i="6"/>
  <c r="V47" i="6"/>
  <c r="V79" i="6"/>
  <c r="V44" i="6"/>
  <c r="V76" i="6"/>
  <c r="V45" i="6"/>
  <c r="V77" i="6"/>
  <c r="V46" i="6"/>
  <c r="V78" i="6"/>
  <c r="V51" i="6"/>
  <c r="V83" i="6"/>
  <c r="V48" i="6"/>
  <c r="V80" i="6"/>
  <c r="V49" i="6"/>
  <c r="V81" i="6"/>
  <c r="V50" i="6"/>
  <c r="V82" i="6"/>
  <c r="V55" i="6"/>
  <c r="V26" i="6"/>
  <c r="V52" i="6"/>
  <c r="V84" i="6"/>
  <c r="V53" i="6"/>
  <c r="V85" i="6"/>
  <c r="V54" i="6"/>
  <c r="V27" i="6"/>
  <c r="V59" i="6"/>
  <c r="V56" i="6"/>
  <c r="V25" i="6"/>
  <c r="V57" i="6"/>
  <c r="V58" i="6"/>
  <c r="V31" i="6"/>
  <c r="V63" i="6"/>
  <c r="V24" i="6"/>
  <c r="V16" i="6"/>
  <c r="V14" i="6"/>
  <c r="V22" i="6"/>
  <c r="V21" i="6"/>
  <c r="V13" i="6"/>
  <c r="V8" i="6"/>
  <c r="V20" i="6"/>
  <c r="V12" i="6"/>
  <c r="V18" i="6"/>
  <c r="AE18" i="8"/>
  <c r="AF18" i="8"/>
  <c r="AE20" i="8"/>
  <c r="AF20" i="8"/>
  <c r="AE22" i="8"/>
  <c r="AF22" i="8"/>
  <c r="AE24" i="8"/>
  <c r="AF24" i="8"/>
  <c r="AE26" i="8"/>
  <c r="AF26" i="8"/>
  <c r="AE30" i="8"/>
  <c r="AF30" i="8"/>
  <c r="AF28" i="8"/>
  <c r="AE28" i="8"/>
  <c r="K17" i="6"/>
  <c r="P17" i="6" s="1"/>
  <c r="K18" i="6"/>
  <c r="P18" i="6" s="1"/>
  <c r="K9" i="6"/>
  <c r="P9" i="6" s="1"/>
  <c r="K24" i="6"/>
  <c r="P24" i="6" s="1"/>
  <c r="K16" i="6"/>
  <c r="P16" i="6" s="1"/>
  <c r="K23" i="6"/>
  <c r="P23" i="6" s="1"/>
  <c r="K15" i="6"/>
  <c r="P15" i="6" s="1"/>
  <c r="K8" i="6"/>
  <c r="P8" i="6" s="1"/>
  <c r="K22" i="6"/>
  <c r="P22" i="6" s="1"/>
  <c r="K14" i="6"/>
  <c r="P14" i="6" s="1"/>
  <c r="K21" i="6"/>
  <c r="P21" i="6" s="1"/>
  <c r="K13" i="6"/>
  <c r="P13" i="6" s="1"/>
  <c r="K20" i="6"/>
  <c r="P20" i="6" s="1"/>
  <c r="K12" i="6"/>
  <c r="P12" i="6" s="1"/>
  <c r="K19" i="6"/>
  <c r="P19" i="6" s="1"/>
  <c r="K11" i="6"/>
  <c r="P11" i="6" s="1"/>
  <c r="K10" i="6"/>
  <c r="P10" i="6" s="1"/>
  <c r="H52" i="4"/>
  <c r="N52" i="4" s="1"/>
  <c r="E52" i="4"/>
  <c r="Y52" i="4" s="1"/>
  <c r="I52" i="4"/>
  <c r="AD52" i="4" s="1"/>
  <c r="G52" i="4"/>
  <c r="S52" i="4" s="1"/>
  <c r="AA52" i="4" s="1"/>
  <c r="D52" i="4"/>
  <c r="X52" i="4" s="1"/>
  <c r="F52" i="4"/>
  <c r="C52" i="4"/>
  <c r="W52" i="4" s="1"/>
  <c r="H48" i="4"/>
  <c r="N48" i="4" s="1"/>
  <c r="I48" i="4"/>
  <c r="AD48" i="4" s="1"/>
  <c r="D48" i="4"/>
  <c r="X48" i="4" s="1"/>
  <c r="F48" i="4"/>
  <c r="C48" i="4"/>
  <c r="W48" i="4" s="1"/>
  <c r="E48" i="4"/>
  <c r="Y48" i="4" s="1"/>
  <c r="G48" i="4"/>
  <c r="S48" i="4" s="1"/>
  <c r="AA48" i="4" s="1"/>
  <c r="H39" i="4"/>
  <c r="N39" i="4" s="1"/>
  <c r="E39" i="4"/>
  <c r="Y39" i="4" s="1"/>
  <c r="I39" i="4"/>
  <c r="AD39" i="4" s="1"/>
  <c r="C39" i="4"/>
  <c r="W39" i="4" s="1"/>
  <c r="D39" i="4"/>
  <c r="X39" i="4" s="1"/>
  <c r="F39" i="4"/>
  <c r="G39" i="4"/>
  <c r="S39" i="4" s="1"/>
  <c r="AA39" i="4" s="1"/>
  <c r="H44" i="4"/>
  <c r="N44" i="4" s="1"/>
  <c r="I44" i="4"/>
  <c r="AD44" i="4" s="1"/>
  <c r="E44" i="4"/>
  <c r="Y44" i="4" s="1"/>
  <c r="C44" i="4"/>
  <c r="W44" i="4" s="1"/>
  <c r="G44" i="4"/>
  <c r="S44" i="4" s="1"/>
  <c r="AA44" i="4" s="1"/>
  <c r="D44" i="4"/>
  <c r="X44" i="4" s="1"/>
  <c r="F44" i="4"/>
  <c r="H38" i="4"/>
  <c r="N38" i="4" s="1"/>
  <c r="I38" i="4"/>
  <c r="E38" i="4"/>
  <c r="C38" i="4"/>
  <c r="W38" i="4" s="1"/>
  <c r="G38" i="4"/>
  <c r="D38" i="4"/>
  <c r="X38" i="4" s="1"/>
  <c r="F38" i="4"/>
  <c r="H53" i="4"/>
  <c r="N53" i="4" s="1"/>
  <c r="C53" i="4"/>
  <c r="W53" i="4" s="1"/>
  <c r="E53" i="4"/>
  <c r="Y53" i="4" s="1"/>
  <c r="I53" i="4"/>
  <c r="AD53" i="4" s="1"/>
  <c r="G53" i="4"/>
  <c r="S53" i="4" s="1"/>
  <c r="AA53" i="4" s="1"/>
  <c r="D53" i="4"/>
  <c r="X53" i="4" s="1"/>
  <c r="F53" i="4"/>
  <c r="H40" i="4"/>
  <c r="N40" i="4" s="1"/>
  <c r="I40" i="4"/>
  <c r="AD40" i="4" s="1"/>
  <c r="C40" i="4"/>
  <c r="W40" i="4" s="1"/>
  <c r="D40" i="4"/>
  <c r="X40" i="4" s="1"/>
  <c r="F40" i="4"/>
  <c r="E40" i="4"/>
  <c r="Y40" i="4" s="1"/>
  <c r="G40" i="4"/>
  <c r="S40" i="4" s="1"/>
  <c r="AA40" i="4" s="1"/>
  <c r="H37" i="4"/>
  <c r="I37" i="4"/>
  <c r="E37" i="4"/>
  <c r="C37" i="4"/>
  <c r="G37" i="4"/>
  <c r="D37" i="4"/>
  <c r="F37" i="4"/>
  <c r="H49" i="4"/>
  <c r="N49" i="4" s="1"/>
  <c r="G49" i="4"/>
  <c r="S49" i="4" s="1"/>
  <c r="AA49" i="4" s="1"/>
  <c r="D49" i="4"/>
  <c r="X49" i="4" s="1"/>
  <c r="F49" i="4"/>
  <c r="I49" i="4"/>
  <c r="AD49" i="4" s="1"/>
  <c r="E49" i="4"/>
  <c r="Y49" i="4" s="1"/>
  <c r="C49" i="4"/>
  <c r="H55" i="4"/>
  <c r="N55" i="4" s="1"/>
  <c r="C55" i="4"/>
  <c r="W55" i="4" s="1"/>
  <c r="E55" i="4"/>
  <c r="Y55" i="4" s="1"/>
  <c r="D55" i="4"/>
  <c r="X55" i="4" s="1"/>
  <c r="F55" i="4"/>
  <c r="I55" i="4"/>
  <c r="AD55" i="4" s="1"/>
  <c r="G55" i="4"/>
  <c r="S55" i="4" s="1"/>
  <c r="AA55" i="4" s="1"/>
  <c r="H54" i="4"/>
  <c r="N54" i="4" s="1"/>
  <c r="I54" i="4"/>
  <c r="AD54" i="4" s="1"/>
  <c r="C54" i="4"/>
  <c r="W54" i="4" s="1"/>
  <c r="E54" i="4"/>
  <c r="Y54" i="4" s="1"/>
  <c r="G54" i="4"/>
  <c r="S54" i="4" s="1"/>
  <c r="AA54" i="4" s="1"/>
  <c r="D54" i="4"/>
  <c r="X54" i="4" s="1"/>
  <c r="F54" i="4"/>
  <c r="H45" i="4"/>
  <c r="N45" i="4" s="1"/>
  <c r="C45" i="4"/>
  <c r="W45" i="4" s="1"/>
  <c r="I45" i="4"/>
  <c r="AD45" i="4" s="1"/>
  <c r="E45" i="4"/>
  <c r="Y45" i="4" s="1"/>
  <c r="G45" i="4"/>
  <c r="S45" i="4" s="1"/>
  <c r="AA45" i="4" s="1"/>
  <c r="D45" i="4"/>
  <c r="X45" i="4" s="1"/>
  <c r="F45" i="4"/>
  <c r="H51" i="4"/>
  <c r="N51" i="4" s="1"/>
  <c r="C51" i="4"/>
  <c r="W51" i="4" s="1"/>
  <c r="I51" i="4"/>
  <c r="AD51" i="4" s="1"/>
  <c r="G51" i="4"/>
  <c r="S51" i="4" s="1"/>
  <c r="AA51" i="4" s="1"/>
  <c r="D51" i="4"/>
  <c r="X51" i="4" s="1"/>
  <c r="F51" i="4"/>
  <c r="E51" i="4"/>
  <c r="Y51" i="4" s="1"/>
  <c r="H50" i="4"/>
  <c r="N50" i="4" s="1"/>
  <c r="I50" i="4"/>
  <c r="AD50" i="4" s="1"/>
  <c r="C50" i="4"/>
  <c r="W50" i="4" s="1"/>
  <c r="G50" i="4"/>
  <c r="S50" i="4" s="1"/>
  <c r="AA50" i="4" s="1"/>
  <c r="D50" i="4"/>
  <c r="X50" i="4" s="1"/>
  <c r="F50" i="4"/>
  <c r="E50" i="4"/>
  <c r="Y50" i="4" s="1"/>
  <c r="H41" i="4"/>
  <c r="N41" i="4" s="1"/>
  <c r="G41" i="4"/>
  <c r="S41" i="4" s="1"/>
  <c r="AA41" i="4" s="1"/>
  <c r="D41" i="4"/>
  <c r="X41" i="4" s="1"/>
  <c r="F41" i="4"/>
  <c r="I41" i="4"/>
  <c r="AD41" i="4" s="1"/>
  <c r="E41" i="4"/>
  <c r="Y41" i="4" s="1"/>
  <c r="C41" i="4"/>
  <c r="W41" i="4" s="1"/>
  <c r="H47" i="4"/>
  <c r="N47" i="4" s="1"/>
  <c r="C47" i="4"/>
  <c r="W47" i="4" s="1"/>
  <c r="E47" i="4"/>
  <c r="Y47" i="4" s="1"/>
  <c r="I47" i="4"/>
  <c r="AD47" i="4" s="1"/>
  <c r="D47" i="4"/>
  <c r="X47" i="4" s="1"/>
  <c r="F47" i="4"/>
  <c r="G47" i="4"/>
  <c r="S47" i="4" s="1"/>
  <c r="AA47" i="4" s="1"/>
  <c r="H46" i="4"/>
  <c r="N46" i="4" s="1"/>
  <c r="I46" i="4"/>
  <c r="AD46" i="4" s="1"/>
  <c r="C46" i="4"/>
  <c r="W46" i="4" s="1"/>
  <c r="E46" i="4"/>
  <c r="Y46" i="4" s="1"/>
  <c r="G46" i="4"/>
  <c r="S46" i="4" s="1"/>
  <c r="AA46" i="4" s="1"/>
  <c r="D46" i="4"/>
  <c r="X46" i="4" s="1"/>
  <c r="F46" i="4"/>
  <c r="H56" i="4"/>
  <c r="N56" i="4" s="1"/>
  <c r="I56" i="4"/>
  <c r="AD56" i="4" s="1"/>
  <c r="D56" i="4"/>
  <c r="X56" i="4" s="1"/>
  <c r="F56" i="4"/>
  <c r="C56" i="4"/>
  <c r="W56" i="4" s="1"/>
  <c r="E56" i="4"/>
  <c r="Y56" i="4" s="1"/>
  <c r="G56" i="4"/>
  <c r="S56" i="4" s="1"/>
  <c r="AA56" i="4" s="1"/>
  <c r="H43" i="4"/>
  <c r="N43" i="4" s="1"/>
  <c r="C43" i="4"/>
  <c r="W43" i="4" s="1"/>
  <c r="I43" i="4"/>
  <c r="AD43" i="4" s="1"/>
  <c r="G43" i="4"/>
  <c r="S43" i="4" s="1"/>
  <c r="AA43" i="4" s="1"/>
  <c r="D43" i="4"/>
  <c r="X43" i="4" s="1"/>
  <c r="F43" i="4"/>
  <c r="E43" i="4"/>
  <c r="Y43" i="4" s="1"/>
  <c r="H42" i="4"/>
  <c r="N42" i="4" s="1"/>
  <c r="I42" i="4"/>
  <c r="AD42" i="4" s="1"/>
  <c r="C42" i="4"/>
  <c r="W42" i="4" s="1"/>
  <c r="G42" i="4"/>
  <c r="S42" i="4" s="1"/>
  <c r="AA42" i="4" s="1"/>
  <c r="D42" i="4"/>
  <c r="X42" i="4" s="1"/>
  <c r="F42" i="4"/>
  <c r="E42" i="4"/>
  <c r="Y42" i="4" s="1"/>
  <c r="K83" i="6"/>
  <c r="P83" i="6" s="1"/>
  <c r="K80" i="6"/>
  <c r="P80" i="6" s="1"/>
  <c r="W49" i="4"/>
  <c r="Y35" i="4"/>
  <c r="V49" i="4"/>
  <c r="L49" i="4"/>
  <c r="AB49" i="4"/>
  <c r="AC49" i="4"/>
  <c r="AB55" i="4"/>
  <c r="L55" i="4"/>
  <c r="AC55" i="4"/>
  <c r="V55" i="4"/>
  <c r="AC54" i="4"/>
  <c r="V54" i="4"/>
  <c r="AB54" i="4"/>
  <c r="L54" i="4"/>
  <c r="AB45" i="4"/>
  <c r="V45" i="4"/>
  <c r="AC45" i="4"/>
  <c r="L45" i="4"/>
  <c r="AB51" i="4"/>
  <c r="L51" i="4"/>
  <c r="AC51" i="4"/>
  <c r="V51" i="4"/>
  <c r="AB50" i="4"/>
  <c r="V50" i="4"/>
  <c r="AC50" i="4"/>
  <c r="L50" i="4"/>
  <c r="L41" i="4"/>
  <c r="AB41" i="4"/>
  <c r="V41" i="4"/>
  <c r="AC41" i="4"/>
  <c r="AC47" i="4"/>
  <c r="V47" i="4"/>
  <c r="AB47" i="4"/>
  <c r="L47" i="4"/>
  <c r="AB46" i="4"/>
  <c r="L46" i="4"/>
  <c r="AC46" i="4"/>
  <c r="V46" i="4"/>
  <c r="AB56" i="4"/>
  <c r="V56" i="4"/>
  <c r="AC56" i="4"/>
  <c r="L56" i="4"/>
  <c r="AC43" i="4"/>
  <c r="L43" i="4"/>
  <c r="AB43" i="4"/>
  <c r="V43" i="4"/>
  <c r="L42" i="4"/>
  <c r="AC42" i="4"/>
  <c r="AB42" i="4"/>
  <c r="V42" i="4"/>
  <c r="L39" i="4"/>
  <c r="V39" i="4"/>
  <c r="L52" i="4"/>
  <c r="AC52" i="4"/>
  <c r="AB52" i="4"/>
  <c r="V52" i="4"/>
  <c r="V38" i="4"/>
  <c r="AB48" i="4"/>
  <c r="V48" i="4"/>
  <c r="L48" i="4"/>
  <c r="AC48" i="4"/>
  <c r="L44" i="4"/>
  <c r="V44" i="4"/>
  <c r="L53" i="4"/>
  <c r="AC53" i="4"/>
  <c r="AB53" i="4"/>
  <c r="V53" i="4"/>
  <c r="L40" i="4"/>
  <c r="AB40" i="4"/>
  <c r="AC40" i="4"/>
  <c r="V40" i="4"/>
  <c r="X36" i="4"/>
  <c r="Z30" i="8"/>
  <c r="AB24" i="8"/>
  <c r="AQ24" i="8"/>
  <c r="Z24" i="8"/>
  <c r="AR24" i="8"/>
  <c r="AJ24" i="8"/>
  <c r="AS24" i="8"/>
  <c r="AP24" i="8"/>
  <c r="AO24" i="8"/>
  <c r="AB26" i="8"/>
  <c r="AP26" i="8"/>
  <c r="AO26" i="8"/>
  <c r="AQ26" i="8"/>
  <c r="Z26" i="8"/>
  <c r="AR26" i="8"/>
  <c r="AJ26" i="8"/>
  <c r="AS26" i="8"/>
  <c r="AB28" i="8"/>
  <c r="AO28" i="8"/>
  <c r="AP28" i="8"/>
  <c r="AQ28" i="8"/>
  <c r="AJ28" i="8"/>
  <c r="AS28" i="8"/>
  <c r="AR28" i="8"/>
  <c r="Z28" i="8"/>
  <c r="AB20" i="8"/>
  <c r="AQ20" i="8"/>
  <c r="AP20" i="8"/>
  <c r="Z20" i="8"/>
  <c r="AR20" i="8"/>
  <c r="AJ20" i="8"/>
  <c r="AS20" i="8"/>
  <c r="AO20" i="8"/>
  <c r="AB18" i="8"/>
  <c r="AO18" i="8"/>
  <c r="AR18" i="8"/>
  <c r="Z18" i="8"/>
  <c r="AP18" i="8"/>
  <c r="AQ18" i="8"/>
  <c r="AJ18" i="8"/>
  <c r="AS18" i="8"/>
  <c r="AB22" i="8"/>
  <c r="Z22" i="8"/>
  <c r="AO22" i="8"/>
  <c r="AR22" i="8"/>
  <c r="AP22" i="8"/>
  <c r="AQ22" i="8"/>
  <c r="AS22" i="8"/>
  <c r="AJ22" i="8"/>
  <c r="AK17" i="8"/>
  <c r="AB30" i="8"/>
  <c r="AO30" i="8"/>
  <c r="AP30" i="8"/>
  <c r="AQ30" i="8"/>
  <c r="AJ30" i="8"/>
  <c r="AR30" i="8"/>
  <c r="AS30" i="8"/>
  <c r="W30" i="8"/>
  <c r="AC30" i="8"/>
  <c r="AD30" i="8"/>
  <c r="AA30" i="8"/>
  <c r="AA18" i="8"/>
  <c r="AC18" i="8"/>
  <c r="AA17" i="8"/>
  <c r="AC17" i="8"/>
  <c r="AA22" i="8"/>
  <c r="AC22" i="8"/>
  <c r="AC24" i="8"/>
  <c r="AD24" i="8"/>
  <c r="W24" i="8"/>
  <c r="AA24" i="8"/>
  <c r="AA26" i="8"/>
  <c r="AC26" i="8"/>
  <c r="AC20" i="8"/>
  <c r="AA20" i="8"/>
  <c r="AC28" i="8"/>
  <c r="AA28" i="8"/>
  <c r="AD28" i="8"/>
  <c r="W28" i="8"/>
  <c r="T80" i="6"/>
  <c r="T84" i="6"/>
  <c r="T82" i="6"/>
  <c r="R34" i="8"/>
  <c r="R16" i="8"/>
  <c r="O82" i="6"/>
  <c r="T83" i="6"/>
  <c r="B9" i="6"/>
  <c r="O9" i="6" s="1"/>
  <c r="B8" i="6"/>
  <c r="O8" i="6" s="1"/>
  <c r="C7" i="6"/>
  <c r="V7" i="6" s="1"/>
  <c r="O80" i="6"/>
  <c r="AC82" i="6"/>
  <c r="AC81" i="6"/>
  <c r="AC84" i="6"/>
  <c r="O84" i="6"/>
  <c r="T81" i="6"/>
  <c r="R32" i="8"/>
  <c r="A3" i="9"/>
  <c r="X10" i="6"/>
  <c r="Y10" i="6"/>
  <c r="Z10" i="6"/>
  <c r="AB10" i="6"/>
  <c r="X11" i="6"/>
  <c r="Y11" i="6"/>
  <c r="Z11" i="6"/>
  <c r="AA11" i="6"/>
  <c r="AB11" i="6"/>
  <c r="X12" i="6"/>
  <c r="Y12" i="6"/>
  <c r="Z12" i="6"/>
  <c r="AA12" i="6"/>
  <c r="AB12" i="6"/>
  <c r="X13" i="6"/>
  <c r="Y13" i="6"/>
  <c r="Z13" i="6"/>
  <c r="AA13" i="6"/>
  <c r="AB13" i="6"/>
  <c r="X14" i="6"/>
  <c r="Y14" i="6"/>
  <c r="Z14" i="6"/>
  <c r="AA14" i="6"/>
  <c r="AB14" i="6"/>
  <c r="X15" i="6"/>
  <c r="Y15" i="6"/>
  <c r="Z15" i="6"/>
  <c r="AA15" i="6"/>
  <c r="AB15" i="6"/>
  <c r="X16" i="6"/>
  <c r="Y16" i="6"/>
  <c r="Z16" i="6"/>
  <c r="AA16" i="6"/>
  <c r="AB16" i="6"/>
  <c r="X17" i="6"/>
  <c r="Y17" i="6"/>
  <c r="Z17" i="6"/>
  <c r="AA17" i="6"/>
  <c r="AB17" i="6"/>
  <c r="X18" i="6"/>
  <c r="Y18" i="6"/>
  <c r="Z18" i="6"/>
  <c r="AA18" i="6"/>
  <c r="AB18" i="6"/>
  <c r="X19" i="6"/>
  <c r="Y19" i="6"/>
  <c r="Z19" i="6"/>
  <c r="AA19" i="6"/>
  <c r="AB19" i="6"/>
  <c r="X20" i="6"/>
  <c r="Y20" i="6"/>
  <c r="Z20" i="6"/>
  <c r="AA20" i="6"/>
  <c r="AB20" i="6"/>
  <c r="X21" i="6"/>
  <c r="Y21" i="6"/>
  <c r="Z21" i="6"/>
  <c r="AA21" i="6"/>
  <c r="AB21" i="6"/>
  <c r="X22" i="6"/>
  <c r="Y22" i="6"/>
  <c r="Z22" i="6"/>
  <c r="AA22" i="6"/>
  <c r="AB22" i="6"/>
  <c r="X23" i="6"/>
  <c r="Y23" i="6"/>
  <c r="Z23" i="6"/>
  <c r="AA23" i="6"/>
  <c r="AB23" i="6"/>
  <c r="X24" i="6"/>
  <c r="Y24" i="6"/>
  <c r="Z24" i="6"/>
  <c r="AA24" i="6"/>
  <c r="AB24" i="6"/>
  <c r="X25" i="6"/>
  <c r="Y25" i="6"/>
  <c r="Z25" i="6"/>
  <c r="AA25" i="6"/>
  <c r="AB25" i="6"/>
  <c r="X26" i="6"/>
  <c r="Y26" i="6"/>
  <c r="Z26" i="6"/>
  <c r="AA26" i="6"/>
  <c r="AB26" i="6"/>
  <c r="X27" i="6"/>
  <c r="Y27" i="6"/>
  <c r="Z27" i="6"/>
  <c r="AA27" i="6"/>
  <c r="AB27" i="6"/>
  <c r="X28" i="6"/>
  <c r="Y28" i="6"/>
  <c r="Z28" i="6"/>
  <c r="AA28" i="6"/>
  <c r="AB28" i="6"/>
  <c r="X29" i="6"/>
  <c r="Y29" i="6"/>
  <c r="Z29" i="6"/>
  <c r="AA29" i="6"/>
  <c r="AB29" i="6"/>
  <c r="X30" i="6"/>
  <c r="Y30" i="6"/>
  <c r="Z30" i="6"/>
  <c r="AA30" i="6"/>
  <c r="AB30" i="6"/>
  <c r="X31" i="6"/>
  <c r="Y31" i="6"/>
  <c r="Z31" i="6"/>
  <c r="AA31" i="6"/>
  <c r="AB31" i="6"/>
  <c r="X32" i="6"/>
  <c r="Y32" i="6"/>
  <c r="Z32" i="6"/>
  <c r="AA32" i="6"/>
  <c r="AB32" i="6"/>
  <c r="X33" i="6"/>
  <c r="Y33" i="6"/>
  <c r="Z33" i="6"/>
  <c r="AA33" i="6"/>
  <c r="AB33" i="6"/>
  <c r="X34" i="6"/>
  <c r="Y34" i="6"/>
  <c r="Z34" i="6"/>
  <c r="AA34" i="6"/>
  <c r="AB34" i="6"/>
  <c r="X35" i="6"/>
  <c r="Y35" i="6"/>
  <c r="Z35" i="6"/>
  <c r="AA35" i="6"/>
  <c r="AB35" i="6"/>
  <c r="X36" i="6"/>
  <c r="Y36" i="6"/>
  <c r="Z36" i="6"/>
  <c r="AA36" i="6"/>
  <c r="AB36" i="6"/>
  <c r="X37" i="6"/>
  <c r="Y37" i="6"/>
  <c r="Z37" i="6"/>
  <c r="AA37" i="6"/>
  <c r="AB37" i="6"/>
  <c r="X38" i="6"/>
  <c r="Y38" i="6"/>
  <c r="Z38" i="6"/>
  <c r="AA38" i="6"/>
  <c r="AB38" i="6"/>
  <c r="X39" i="6"/>
  <c r="Y39" i="6"/>
  <c r="Z39" i="6"/>
  <c r="AA39" i="6"/>
  <c r="AB39" i="6"/>
  <c r="X40" i="6"/>
  <c r="Y40" i="6"/>
  <c r="Z40" i="6"/>
  <c r="AA40" i="6"/>
  <c r="AB40" i="6"/>
  <c r="X41" i="6"/>
  <c r="Y41" i="6"/>
  <c r="Z41" i="6"/>
  <c r="AA41" i="6"/>
  <c r="AB41" i="6"/>
  <c r="X42" i="6"/>
  <c r="Y42" i="6"/>
  <c r="Z42" i="6"/>
  <c r="AA42" i="6"/>
  <c r="AB42" i="6"/>
  <c r="X43" i="6"/>
  <c r="Y43" i="6"/>
  <c r="Z43" i="6"/>
  <c r="AA43" i="6"/>
  <c r="AB43" i="6"/>
  <c r="X44" i="6"/>
  <c r="Y44" i="6"/>
  <c r="Z44" i="6"/>
  <c r="AA44" i="6"/>
  <c r="AB44" i="6"/>
  <c r="X45" i="6"/>
  <c r="Y45" i="6"/>
  <c r="Z45" i="6"/>
  <c r="AA45" i="6"/>
  <c r="AB45" i="6"/>
  <c r="X46" i="6"/>
  <c r="Y46" i="6"/>
  <c r="Z46" i="6"/>
  <c r="AA46" i="6"/>
  <c r="AB46" i="6"/>
  <c r="X47" i="6"/>
  <c r="Y47" i="6"/>
  <c r="Z47" i="6"/>
  <c r="AA47" i="6"/>
  <c r="AB47" i="6"/>
  <c r="X48" i="6"/>
  <c r="Y48" i="6"/>
  <c r="AA48" i="6"/>
  <c r="AB48" i="6"/>
  <c r="X49" i="6"/>
  <c r="Y49" i="6"/>
  <c r="Z49" i="6"/>
  <c r="AA49" i="6"/>
  <c r="AB49" i="6"/>
  <c r="X50" i="6"/>
  <c r="Y50" i="6"/>
  <c r="Z50" i="6"/>
  <c r="AA50" i="6"/>
  <c r="AB50" i="6"/>
  <c r="X51" i="6"/>
  <c r="Y51" i="6"/>
  <c r="Z51" i="6"/>
  <c r="AA51" i="6"/>
  <c r="AB51" i="6"/>
  <c r="X52" i="6"/>
  <c r="Y52" i="6"/>
  <c r="Z52" i="6"/>
  <c r="AA52" i="6"/>
  <c r="AB52" i="6"/>
  <c r="X53" i="6"/>
  <c r="Y53" i="6"/>
  <c r="Z53" i="6"/>
  <c r="AA53" i="6"/>
  <c r="AB53" i="6"/>
  <c r="X54" i="6"/>
  <c r="Y54" i="6"/>
  <c r="Z54" i="6"/>
  <c r="AA54" i="6"/>
  <c r="AB54" i="6"/>
  <c r="X55" i="6"/>
  <c r="Y55" i="6"/>
  <c r="Z55" i="6"/>
  <c r="AA55" i="6"/>
  <c r="AB55" i="6"/>
  <c r="X56" i="6"/>
  <c r="Y56" i="6"/>
  <c r="Z56" i="6"/>
  <c r="AA56" i="6"/>
  <c r="AB56" i="6"/>
  <c r="X57" i="6"/>
  <c r="Y57" i="6"/>
  <c r="Z57" i="6"/>
  <c r="AA57" i="6"/>
  <c r="AB57" i="6"/>
  <c r="X58" i="6"/>
  <c r="Y58" i="6"/>
  <c r="Z58" i="6"/>
  <c r="AA58" i="6"/>
  <c r="AB58" i="6"/>
  <c r="X59" i="6"/>
  <c r="Y59" i="6"/>
  <c r="Z59" i="6"/>
  <c r="AA59" i="6"/>
  <c r="AB59" i="6"/>
  <c r="X60" i="6"/>
  <c r="Y60" i="6"/>
  <c r="Z60" i="6"/>
  <c r="AA60" i="6"/>
  <c r="AB60" i="6"/>
  <c r="X61" i="6"/>
  <c r="Y61" i="6"/>
  <c r="Z61" i="6"/>
  <c r="AA61" i="6"/>
  <c r="AB61" i="6"/>
  <c r="X62" i="6"/>
  <c r="Y62" i="6"/>
  <c r="Z62" i="6"/>
  <c r="AA62" i="6"/>
  <c r="AB62" i="6"/>
  <c r="X63" i="6"/>
  <c r="Y63" i="6"/>
  <c r="Z63" i="6"/>
  <c r="AA63" i="6"/>
  <c r="AB63" i="6"/>
  <c r="X64" i="6"/>
  <c r="Y64" i="6"/>
  <c r="Z64" i="6"/>
  <c r="AA64" i="6"/>
  <c r="AB64" i="6"/>
  <c r="X65" i="6"/>
  <c r="Y65" i="6"/>
  <c r="Z65" i="6"/>
  <c r="AA65" i="6"/>
  <c r="AB65" i="6"/>
  <c r="X66" i="6"/>
  <c r="Y66" i="6"/>
  <c r="Z66" i="6"/>
  <c r="AA66" i="6"/>
  <c r="AB66" i="6"/>
  <c r="X67" i="6"/>
  <c r="Y67" i="6"/>
  <c r="Z67" i="6"/>
  <c r="AA67" i="6"/>
  <c r="AB67" i="6"/>
  <c r="X68" i="6"/>
  <c r="Y68" i="6"/>
  <c r="Z68" i="6"/>
  <c r="AA68" i="6"/>
  <c r="AB68" i="6"/>
  <c r="X69" i="6"/>
  <c r="Y69" i="6"/>
  <c r="Z69" i="6"/>
  <c r="AA69" i="6"/>
  <c r="AB69" i="6"/>
  <c r="X70" i="6"/>
  <c r="Y70" i="6"/>
  <c r="Z70" i="6"/>
  <c r="AA70" i="6"/>
  <c r="AB70" i="6"/>
  <c r="X71" i="6"/>
  <c r="Y71" i="6"/>
  <c r="Z71" i="6"/>
  <c r="AA71" i="6"/>
  <c r="AB71" i="6"/>
  <c r="X72" i="6"/>
  <c r="Y72" i="6"/>
  <c r="Z72" i="6"/>
  <c r="AA72" i="6"/>
  <c r="AB72" i="6"/>
  <c r="X73" i="6"/>
  <c r="Y73" i="6"/>
  <c r="Z73" i="6"/>
  <c r="AA73" i="6"/>
  <c r="AB73" i="6"/>
  <c r="X74" i="6"/>
  <c r="Y74" i="6"/>
  <c r="Z74" i="6"/>
  <c r="AA74" i="6"/>
  <c r="AB74" i="6"/>
  <c r="X75" i="6"/>
  <c r="Y75" i="6"/>
  <c r="Z75" i="6"/>
  <c r="AA75" i="6"/>
  <c r="AB75" i="6"/>
  <c r="X76" i="6"/>
  <c r="Y76" i="6"/>
  <c r="Z76" i="6"/>
  <c r="AA76" i="6"/>
  <c r="AB76" i="6"/>
  <c r="X77" i="6"/>
  <c r="Y77" i="6"/>
  <c r="Z77" i="6"/>
  <c r="AA77" i="6"/>
  <c r="AB77" i="6"/>
  <c r="X78" i="6"/>
  <c r="Y78" i="6"/>
  <c r="Z78" i="6"/>
  <c r="AA78" i="6"/>
  <c r="AB78" i="6"/>
  <c r="X79" i="6"/>
  <c r="Y79" i="6"/>
  <c r="Z79" i="6"/>
  <c r="AA79" i="6"/>
  <c r="AB79" i="6"/>
  <c r="X85" i="6"/>
  <c r="Y85" i="6"/>
  <c r="Z85" i="6"/>
  <c r="AA85" i="6"/>
  <c r="AB85" i="6"/>
  <c r="X7" i="6"/>
  <c r="AB7" i="6"/>
  <c r="X8" i="6"/>
  <c r="AB8" i="6"/>
  <c r="X9" i="6"/>
  <c r="AB9" i="6"/>
  <c r="AB6" i="6"/>
  <c r="X6" i="6"/>
  <c r="I9" i="5"/>
  <c r="J9" i="5"/>
  <c r="K9" i="5"/>
  <c r="L9" i="5"/>
  <c r="I10" i="5"/>
  <c r="I11" i="5"/>
  <c r="I12" i="5"/>
  <c r="I13" i="5"/>
  <c r="I14" i="5"/>
  <c r="I15" i="5"/>
  <c r="I16" i="5"/>
  <c r="I17" i="5"/>
  <c r="I18" i="5"/>
  <c r="I19" i="5"/>
  <c r="I20" i="5"/>
  <c r="I21" i="5"/>
  <c r="I22" i="5"/>
  <c r="I23" i="5"/>
  <c r="I24" i="5"/>
  <c r="I25" i="5"/>
  <c r="I26" i="5"/>
  <c r="I27" i="5"/>
  <c r="I28" i="5"/>
  <c r="I29" i="5"/>
  <c r="I30" i="5"/>
  <c r="K8" i="5"/>
  <c r="L8" i="5"/>
  <c r="J8" i="5"/>
  <c r="N8" i="5" s="1"/>
  <c r="I8" i="5"/>
  <c r="R8" i="4"/>
  <c r="Z8" i="4" s="1"/>
  <c r="S8" i="4"/>
  <c r="AA8" i="4" s="1"/>
  <c r="U8" i="4"/>
  <c r="V8" i="4"/>
  <c r="W8" i="4"/>
  <c r="X8" i="4"/>
  <c r="Y8" i="4"/>
  <c r="AD8" i="4"/>
  <c r="R9" i="4"/>
  <c r="Z9" i="4" s="1"/>
  <c r="S9" i="4"/>
  <c r="AA9" i="4" s="1"/>
  <c r="U9" i="4"/>
  <c r="V9" i="4"/>
  <c r="W9" i="4"/>
  <c r="X9" i="4"/>
  <c r="Y9" i="4"/>
  <c r="AD9" i="4"/>
  <c r="R10" i="4"/>
  <c r="Z10" i="4" s="1"/>
  <c r="S10" i="4"/>
  <c r="AA10" i="4" s="1"/>
  <c r="U10" i="4"/>
  <c r="V10" i="4"/>
  <c r="W10" i="4"/>
  <c r="X10" i="4"/>
  <c r="Y10" i="4"/>
  <c r="AD10" i="4"/>
  <c r="R11" i="4"/>
  <c r="Z11" i="4" s="1"/>
  <c r="S11" i="4"/>
  <c r="AA11" i="4" s="1"/>
  <c r="U11" i="4"/>
  <c r="V11" i="4"/>
  <c r="W11" i="4"/>
  <c r="X11" i="4"/>
  <c r="Y11" i="4"/>
  <c r="AD11" i="4"/>
  <c r="R12" i="4"/>
  <c r="Z12" i="4" s="1"/>
  <c r="S12" i="4"/>
  <c r="AA12" i="4" s="1"/>
  <c r="U12" i="4"/>
  <c r="V12" i="4"/>
  <c r="W12" i="4"/>
  <c r="X12" i="4"/>
  <c r="Y12" i="4"/>
  <c r="AD12" i="4"/>
  <c r="R13" i="4"/>
  <c r="Z13" i="4" s="1"/>
  <c r="S13" i="4"/>
  <c r="AA13" i="4" s="1"/>
  <c r="U13" i="4"/>
  <c r="V13" i="4"/>
  <c r="W13" i="4"/>
  <c r="X13" i="4"/>
  <c r="Y13" i="4"/>
  <c r="AD13" i="4"/>
  <c r="R14" i="4"/>
  <c r="Z14" i="4" s="1"/>
  <c r="S14" i="4"/>
  <c r="AA14" i="4" s="1"/>
  <c r="U14" i="4"/>
  <c r="V14" i="4"/>
  <c r="W14" i="4"/>
  <c r="X14" i="4"/>
  <c r="Y14" i="4"/>
  <c r="AD14" i="4"/>
  <c r="R15" i="4"/>
  <c r="Z15" i="4" s="1"/>
  <c r="S15" i="4"/>
  <c r="AA15" i="4" s="1"/>
  <c r="U15" i="4"/>
  <c r="V15" i="4"/>
  <c r="W15" i="4"/>
  <c r="X15" i="4"/>
  <c r="Y15" i="4"/>
  <c r="AD15" i="4"/>
  <c r="R16" i="4"/>
  <c r="Z16" i="4" s="1"/>
  <c r="S16" i="4"/>
  <c r="AA16" i="4" s="1"/>
  <c r="U16" i="4"/>
  <c r="V16" i="4"/>
  <c r="W16" i="4"/>
  <c r="X16" i="4"/>
  <c r="Y16" i="4"/>
  <c r="AD16" i="4"/>
  <c r="R17" i="4"/>
  <c r="Z17" i="4" s="1"/>
  <c r="S17" i="4"/>
  <c r="AA17" i="4" s="1"/>
  <c r="U17" i="4"/>
  <c r="V17" i="4"/>
  <c r="W17" i="4"/>
  <c r="X17" i="4"/>
  <c r="Y17" i="4"/>
  <c r="AD17" i="4"/>
  <c r="R18" i="4"/>
  <c r="Z18" i="4" s="1"/>
  <c r="S18" i="4"/>
  <c r="AA18" i="4" s="1"/>
  <c r="U18" i="4"/>
  <c r="V18" i="4"/>
  <c r="W18" i="4"/>
  <c r="X18" i="4"/>
  <c r="Y18" i="4"/>
  <c r="AD18" i="4"/>
  <c r="R19" i="4"/>
  <c r="Z19" i="4" s="1"/>
  <c r="S19" i="4"/>
  <c r="AA19" i="4" s="1"/>
  <c r="U19" i="4"/>
  <c r="V19" i="4"/>
  <c r="W19" i="4"/>
  <c r="X19" i="4"/>
  <c r="Y19" i="4"/>
  <c r="AD19" i="4"/>
  <c r="R20" i="4"/>
  <c r="Z20" i="4" s="1"/>
  <c r="S20" i="4"/>
  <c r="AA20" i="4" s="1"/>
  <c r="U20" i="4"/>
  <c r="V20" i="4"/>
  <c r="W20" i="4"/>
  <c r="X20" i="4"/>
  <c r="Y20" i="4"/>
  <c r="AD20" i="4"/>
  <c r="R21" i="4"/>
  <c r="Z21" i="4" s="1"/>
  <c r="S21" i="4"/>
  <c r="AA21" i="4" s="1"/>
  <c r="U21" i="4"/>
  <c r="V21" i="4"/>
  <c r="W21" i="4"/>
  <c r="X21" i="4"/>
  <c r="Y21" i="4"/>
  <c r="AD21" i="4"/>
  <c r="R22" i="4"/>
  <c r="Z22" i="4" s="1"/>
  <c r="S22" i="4"/>
  <c r="AA22" i="4" s="1"/>
  <c r="U22" i="4"/>
  <c r="V22" i="4"/>
  <c r="W22" i="4"/>
  <c r="X22" i="4"/>
  <c r="Y22" i="4"/>
  <c r="AD22" i="4"/>
  <c r="R23" i="4"/>
  <c r="Z23" i="4" s="1"/>
  <c r="S23" i="4"/>
  <c r="AA23" i="4" s="1"/>
  <c r="U23" i="4"/>
  <c r="V23" i="4"/>
  <c r="W23" i="4"/>
  <c r="X23" i="4"/>
  <c r="Y23" i="4"/>
  <c r="AD23" i="4"/>
  <c r="R24" i="4"/>
  <c r="Z24" i="4" s="1"/>
  <c r="S24" i="4"/>
  <c r="AA24" i="4" s="1"/>
  <c r="U24" i="4"/>
  <c r="V24" i="4"/>
  <c r="W24" i="4"/>
  <c r="X24" i="4"/>
  <c r="Y24" i="4"/>
  <c r="AD24" i="4"/>
  <c r="R25" i="4"/>
  <c r="Z25" i="4" s="1"/>
  <c r="S25" i="4"/>
  <c r="AA25" i="4" s="1"/>
  <c r="U25" i="4"/>
  <c r="V25" i="4"/>
  <c r="W25" i="4"/>
  <c r="X25" i="4"/>
  <c r="Y25" i="4"/>
  <c r="AD25" i="4"/>
  <c r="R26" i="4"/>
  <c r="Z26" i="4" s="1"/>
  <c r="S26" i="4"/>
  <c r="AA26" i="4" s="1"/>
  <c r="U26" i="4"/>
  <c r="V26" i="4"/>
  <c r="W26" i="4"/>
  <c r="X26" i="4"/>
  <c r="Y26" i="4"/>
  <c r="AD26" i="4"/>
  <c r="R27" i="4"/>
  <c r="Z27" i="4" s="1"/>
  <c r="S27" i="4"/>
  <c r="AA27" i="4" s="1"/>
  <c r="U27" i="4"/>
  <c r="V27" i="4"/>
  <c r="W27" i="4"/>
  <c r="X27" i="4"/>
  <c r="Y27" i="4"/>
  <c r="AD27" i="4"/>
  <c r="R28" i="4"/>
  <c r="Z28" i="4" s="1"/>
  <c r="S28" i="4"/>
  <c r="AA28" i="4" s="1"/>
  <c r="U28" i="4"/>
  <c r="V28" i="4"/>
  <c r="W28" i="4"/>
  <c r="X28" i="4"/>
  <c r="Y28" i="4"/>
  <c r="AD28" i="4"/>
  <c r="R29" i="4"/>
  <c r="Z29" i="4" s="1"/>
  <c r="S29" i="4"/>
  <c r="AA29" i="4" s="1"/>
  <c r="U29" i="4"/>
  <c r="V29" i="4"/>
  <c r="W29" i="4"/>
  <c r="X29" i="4"/>
  <c r="Y29" i="4"/>
  <c r="AD29" i="4"/>
  <c r="R30" i="4"/>
  <c r="Z30" i="4" s="1"/>
  <c r="S30" i="4"/>
  <c r="AA30" i="4" s="1"/>
  <c r="U30" i="4"/>
  <c r="V30" i="4"/>
  <c r="W30" i="4"/>
  <c r="X30" i="4"/>
  <c r="Y30" i="4"/>
  <c r="AD30" i="4"/>
  <c r="R31" i="4"/>
  <c r="Z31" i="4" s="1"/>
  <c r="S31" i="4"/>
  <c r="AA31" i="4" s="1"/>
  <c r="U31" i="4"/>
  <c r="V31" i="4"/>
  <c r="W31" i="4"/>
  <c r="X31" i="4"/>
  <c r="Y31" i="4"/>
  <c r="AD31" i="4"/>
  <c r="S7" i="4"/>
  <c r="AA7" i="4" s="1"/>
  <c r="R7" i="4"/>
  <c r="Z7" i="4" s="1"/>
  <c r="AD7" i="4"/>
  <c r="W7" i="4"/>
  <c r="X7" i="4"/>
  <c r="Y7" i="4"/>
  <c r="V7" i="4"/>
  <c r="U7" i="4"/>
  <c r="AT2" i="3"/>
  <c r="AS2" i="3"/>
  <c r="AR2" i="3"/>
  <c r="AQ2" i="3"/>
  <c r="AP2" i="3"/>
  <c r="AO2" i="3"/>
  <c r="AN2" i="3"/>
  <c r="AM2" i="3"/>
  <c r="AL2" i="3"/>
  <c r="AK2" i="3"/>
  <c r="AJ2" i="3"/>
  <c r="AI2" i="3"/>
  <c r="AH2" i="3"/>
  <c r="AG2" i="3"/>
  <c r="AF2" i="3"/>
  <c r="AE2" i="3"/>
  <c r="AD2" i="3"/>
  <c r="AC2" i="3"/>
  <c r="AB2" i="3"/>
  <c r="AA2" i="3"/>
  <c r="Z2" i="3"/>
  <c r="Y2" i="3"/>
  <c r="X2" i="3"/>
  <c r="W2" i="3"/>
  <c r="V2" i="3"/>
  <c r="U2" i="3"/>
  <c r="T2" i="3"/>
  <c r="S2" i="3"/>
  <c r="R2" i="3"/>
  <c r="Q2" i="3"/>
  <c r="P2" i="3"/>
  <c r="O2" i="3"/>
  <c r="N2" i="3"/>
  <c r="O10" i="8" l="1"/>
  <c r="AX17" i="8" s="1"/>
  <c r="V6" i="6"/>
  <c r="AE16" i="8"/>
  <c r="AF16" i="8"/>
  <c r="AC80" i="6"/>
  <c r="N9" i="5"/>
  <c r="N10" i="5" s="1"/>
  <c r="N11" i="5" s="1"/>
  <c r="N12" i="5" s="1"/>
  <c r="N13" i="5" s="1"/>
  <c r="N14" i="5" s="1"/>
  <c r="N15" i="5" s="1"/>
  <c r="N16" i="5" s="1"/>
  <c r="N17" i="5" s="1"/>
  <c r="N18" i="5" s="1"/>
  <c r="N19" i="5" s="1"/>
  <c r="N20" i="5" s="1"/>
  <c r="N21" i="5" s="1"/>
  <c r="N22" i="5" s="1"/>
  <c r="N23" i="5" s="1"/>
  <c r="N24" i="5" s="1"/>
  <c r="N25" i="5" s="1"/>
  <c r="N26" i="5" s="1"/>
  <c r="N27" i="5" s="1"/>
  <c r="N28" i="5" s="1"/>
  <c r="N29" i="5" s="1"/>
  <c r="N30" i="5" s="1"/>
  <c r="N31" i="5" s="1"/>
  <c r="N32" i="5" s="1"/>
  <c r="N33" i="5" s="1"/>
  <c r="N34" i="5" s="1"/>
  <c r="AF34" i="8"/>
  <c r="AE34" i="8"/>
  <c r="AF32" i="8"/>
  <c r="AE32" i="8"/>
  <c r="S38" i="4"/>
  <c r="AA38" i="4" s="1"/>
  <c r="L38" i="4"/>
  <c r="AG38" i="4" s="1"/>
  <c r="Y38" i="4"/>
  <c r="AD38" i="4"/>
  <c r="K7" i="6"/>
  <c r="P7" i="6" s="1"/>
  <c r="AC83" i="6"/>
  <c r="W37" i="4"/>
  <c r="X37" i="4"/>
  <c r="Y37" i="4"/>
  <c r="S37" i="4"/>
  <c r="AA37" i="4" s="1"/>
  <c r="N37" i="4"/>
  <c r="AD37" i="4"/>
  <c r="J47" i="4"/>
  <c r="AG47" i="4"/>
  <c r="M41" i="4"/>
  <c r="R41" i="4"/>
  <c r="Z41" i="4" s="1"/>
  <c r="AG43" i="4"/>
  <c r="J43" i="4"/>
  <c r="AG44" i="4"/>
  <c r="J44" i="4"/>
  <c r="M42" i="4"/>
  <c r="R42" i="4"/>
  <c r="Z42" i="4" s="1"/>
  <c r="J56" i="4"/>
  <c r="AG56" i="4"/>
  <c r="M49" i="4"/>
  <c r="R49" i="4"/>
  <c r="Z49" i="4" s="1"/>
  <c r="AG48" i="4"/>
  <c r="J48" i="4"/>
  <c r="M38" i="4"/>
  <c r="R38" i="4"/>
  <c r="Z38" i="4" s="1"/>
  <c r="AG52" i="4"/>
  <c r="J52" i="4"/>
  <c r="AG39" i="4"/>
  <c r="M47" i="4"/>
  <c r="R47" i="4"/>
  <c r="Z47" i="4" s="1"/>
  <c r="J51" i="4"/>
  <c r="AG51" i="4"/>
  <c r="AG53" i="4"/>
  <c r="J53" i="4"/>
  <c r="M50" i="4"/>
  <c r="R50" i="4"/>
  <c r="Z50" i="4" s="1"/>
  <c r="AG45" i="4"/>
  <c r="J45" i="4"/>
  <c r="R45" i="4"/>
  <c r="Z45" i="4" s="1"/>
  <c r="M45" i="4"/>
  <c r="J55" i="4"/>
  <c r="AG55" i="4"/>
  <c r="M48" i="4"/>
  <c r="R48" i="4"/>
  <c r="Z48" i="4" s="1"/>
  <c r="M52" i="4"/>
  <c r="R52" i="4"/>
  <c r="Z52" i="4" s="1"/>
  <c r="M39" i="4"/>
  <c r="R39" i="4"/>
  <c r="Z39" i="4" s="1"/>
  <c r="M43" i="4"/>
  <c r="R43" i="4"/>
  <c r="Z43" i="4" s="1"/>
  <c r="M56" i="4"/>
  <c r="R56" i="4"/>
  <c r="Z56" i="4" s="1"/>
  <c r="M46" i="4"/>
  <c r="R46" i="4"/>
  <c r="Z46" i="4" s="1"/>
  <c r="AG40" i="4"/>
  <c r="J40" i="4"/>
  <c r="M53" i="4"/>
  <c r="R53" i="4"/>
  <c r="Z53" i="4" s="1"/>
  <c r="R44" i="4"/>
  <c r="Z44" i="4" s="1"/>
  <c r="M44" i="4"/>
  <c r="AG41" i="4"/>
  <c r="J41" i="4"/>
  <c r="AG50" i="4"/>
  <c r="J50" i="4"/>
  <c r="M55" i="4"/>
  <c r="R55" i="4"/>
  <c r="Z55" i="4" s="1"/>
  <c r="R40" i="4"/>
  <c r="Z40" i="4" s="1"/>
  <c r="M40" i="4"/>
  <c r="J42" i="4"/>
  <c r="AG42" i="4"/>
  <c r="AG46" i="4"/>
  <c r="J46" i="4"/>
  <c r="M51" i="4"/>
  <c r="R51" i="4"/>
  <c r="Z51" i="4" s="1"/>
  <c r="J54" i="4"/>
  <c r="AG54" i="4"/>
  <c r="M54" i="4"/>
  <c r="R54" i="4"/>
  <c r="Z54" i="4" s="1"/>
  <c r="AG49" i="4"/>
  <c r="J49" i="4"/>
  <c r="V37" i="4"/>
  <c r="AT17" i="8"/>
  <c r="AB16" i="8"/>
  <c r="AJ16" i="8"/>
  <c r="AS16" i="8"/>
  <c r="AR16" i="8"/>
  <c r="Z16" i="8"/>
  <c r="AO16" i="8"/>
  <c r="AP16" i="8"/>
  <c r="AQ16" i="8"/>
  <c r="AB32" i="8"/>
  <c r="AR32" i="8"/>
  <c r="AJ32" i="8"/>
  <c r="AS32" i="8"/>
  <c r="Z32" i="8"/>
  <c r="AO32" i="8"/>
  <c r="AP32" i="8"/>
  <c r="AQ32" i="8"/>
  <c r="AB34" i="8"/>
  <c r="AJ34" i="8"/>
  <c r="Z34" i="8"/>
  <c r="AO34" i="8"/>
  <c r="AP34" i="8"/>
  <c r="AQ34" i="8"/>
  <c r="AR34" i="8"/>
  <c r="AS34" i="8"/>
  <c r="AC16" i="8"/>
  <c r="AA16" i="8"/>
  <c r="AA34" i="8"/>
  <c r="AC34" i="8"/>
  <c r="AC32" i="8"/>
  <c r="AA32" i="8"/>
  <c r="AD32" i="8"/>
  <c r="W32" i="8"/>
  <c r="T66" i="6"/>
  <c r="T73" i="6"/>
  <c r="T69" i="6"/>
  <c r="T64" i="6"/>
  <c r="T74" i="6"/>
  <c r="AN15" i="8"/>
  <c r="T65" i="6"/>
  <c r="T68" i="6"/>
  <c r="T72" i="6"/>
  <c r="AC68" i="6"/>
  <c r="T71" i="6"/>
  <c r="AC65" i="6"/>
  <c r="AC71" i="6"/>
  <c r="AC66" i="6"/>
  <c r="AC74" i="6"/>
  <c r="AC69" i="6"/>
  <c r="AC70" i="6"/>
  <c r="T67" i="6"/>
  <c r="AC72" i="6"/>
  <c r="AC73" i="6"/>
  <c r="AC67" i="6"/>
  <c r="T70" i="6"/>
  <c r="AC64" i="6"/>
  <c r="M37" i="4" l="1"/>
  <c r="R37" i="4"/>
  <c r="Z37" i="4" s="1"/>
  <c r="BJ46" i="8"/>
  <c r="BJ38" i="8"/>
  <c r="BI40" i="8"/>
  <c r="BI16" i="8"/>
  <c r="BI35" i="8"/>
  <c r="BI30" i="8"/>
  <c r="BI21" i="8"/>
  <c r="BI46" i="8"/>
  <c r="BJ24" i="8"/>
  <c r="BI53" i="8"/>
  <c r="BI45" i="8"/>
  <c r="BJ51" i="8"/>
  <c r="BJ39" i="8"/>
  <c r="BJ27" i="8"/>
  <c r="BJ25" i="8"/>
  <c r="BI22" i="8"/>
  <c r="BI23" i="8"/>
  <c r="BI51" i="8"/>
  <c r="BJ47" i="8"/>
  <c r="BI25" i="8"/>
  <c r="BJ20" i="8"/>
  <c r="BJ33" i="8"/>
  <c r="BJ18" i="8"/>
  <c r="BJ22" i="8"/>
  <c r="BI44" i="8"/>
  <c r="BI18" i="8"/>
  <c r="BJ36" i="8"/>
  <c r="BJ41" i="8"/>
  <c r="BI26" i="8"/>
  <c r="BI42" i="8"/>
  <c r="BJ26" i="8"/>
  <c r="BI52" i="8"/>
  <c r="BJ21" i="8"/>
  <c r="BJ52" i="8"/>
  <c r="BJ29" i="8"/>
  <c r="BI47" i="8"/>
  <c r="BI24" i="8"/>
  <c r="BJ16" i="8"/>
  <c r="BI49" i="8"/>
  <c r="BJ48" i="8"/>
  <c r="BJ31" i="8"/>
  <c r="BJ35" i="8"/>
  <c r="BJ19" i="8"/>
  <c r="BJ17" i="8"/>
  <c r="BJ49" i="8"/>
  <c r="BJ53" i="8"/>
  <c r="BJ30" i="8"/>
  <c r="BI17" i="8"/>
  <c r="BI54" i="8"/>
  <c r="BI34" i="8"/>
  <c r="BJ54" i="8"/>
  <c r="BI28" i="8"/>
  <c r="BI32" i="8"/>
  <c r="BJ42" i="8"/>
  <c r="BI19" i="8"/>
  <c r="BI31" i="8"/>
  <c r="BI36" i="8"/>
  <c r="BI29" i="8"/>
  <c r="BI38" i="8"/>
  <c r="BI37" i="8"/>
  <c r="BJ28" i="8"/>
  <c r="BI33" i="8"/>
  <c r="BJ34" i="8"/>
  <c r="BI39" i="8"/>
  <c r="BJ37" i="8"/>
  <c r="BJ45" i="8"/>
  <c r="BI48" i="8"/>
  <c r="BJ15" i="8"/>
  <c r="B35" i="5" s="1"/>
  <c r="BI41" i="8"/>
  <c r="BJ50" i="8"/>
  <c r="BJ44" i="8"/>
  <c r="BI50" i="8"/>
  <c r="BJ43" i="8"/>
  <c r="BJ40" i="8"/>
  <c r="BJ32" i="8"/>
  <c r="BJ23" i="8"/>
  <c r="BI43" i="8"/>
  <c r="BI27" i="8"/>
  <c r="BI20" i="8"/>
  <c r="L37" i="4"/>
  <c r="AV17" i="8"/>
  <c r="W45" i="8"/>
  <c r="W35" i="8"/>
  <c r="W42" i="8"/>
  <c r="AD45" i="8"/>
  <c r="AD35" i="8"/>
  <c r="AD42" i="8"/>
  <c r="AD25" i="8"/>
  <c r="AD22" i="8"/>
  <c r="W22" i="8"/>
  <c r="W25" i="8"/>
  <c r="AL23" i="8" l="1"/>
  <c r="AL25" i="8"/>
  <c r="AL27" i="8"/>
  <c r="E10" i="6"/>
  <c r="E32" i="5" s="1"/>
  <c r="D48" i="6"/>
  <c r="T48" i="6" s="1"/>
  <c r="AL26" i="8"/>
  <c r="B36" i="5"/>
  <c r="B47" i="5"/>
  <c r="J47" i="5" s="1"/>
  <c r="B48" i="5"/>
  <c r="O48" i="5" s="1"/>
  <c r="B40" i="5"/>
  <c r="O40" i="5" s="1"/>
  <c r="B53" i="5"/>
  <c r="J53" i="5" s="1"/>
  <c r="B43" i="5"/>
  <c r="J43" i="5" s="1"/>
  <c r="C35" i="5"/>
  <c r="K35" i="5" s="1"/>
  <c r="D35" i="5"/>
  <c r="B37" i="5"/>
  <c r="B49" i="5"/>
  <c r="J49" i="5" s="1"/>
  <c r="B52" i="5"/>
  <c r="E52" i="5" s="1"/>
  <c r="B39" i="5"/>
  <c r="O39" i="5" s="1"/>
  <c r="B51" i="5"/>
  <c r="O51" i="5" s="1"/>
  <c r="B41" i="5"/>
  <c r="J41" i="5" s="1"/>
  <c r="B44" i="5"/>
  <c r="E44" i="5" s="1"/>
  <c r="B42" i="5"/>
  <c r="O42" i="5" s="1"/>
  <c r="B54" i="5"/>
  <c r="O54" i="5" s="1"/>
  <c r="B50" i="5"/>
  <c r="J50" i="5" s="1"/>
  <c r="B46" i="5"/>
  <c r="J46" i="5" s="1"/>
  <c r="B38" i="5"/>
  <c r="O38" i="5" s="1"/>
  <c r="B45" i="5"/>
  <c r="O45" i="5" s="1"/>
  <c r="O35" i="5"/>
  <c r="AL16" i="8"/>
  <c r="AF37" i="4"/>
  <c r="AM17" i="8"/>
  <c r="AM18" i="8"/>
  <c r="J35" i="5"/>
  <c r="N35" i="5" s="1"/>
  <c r="AG37" i="4"/>
  <c r="BI15" i="8"/>
  <c r="BI14" i="8"/>
  <c r="T52" i="6"/>
  <c r="T34" i="6"/>
  <c r="T76" i="6"/>
  <c r="T43" i="6"/>
  <c r="T25" i="6"/>
  <c r="T51" i="6"/>
  <c r="T18" i="6"/>
  <c r="T33" i="6"/>
  <c r="T85" i="6"/>
  <c r="T17" i="6"/>
  <c r="T42" i="6"/>
  <c r="T60" i="6"/>
  <c r="T39" i="6"/>
  <c r="T28" i="6"/>
  <c r="T41" i="6"/>
  <c r="T47" i="6"/>
  <c r="T50" i="6"/>
  <c r="T59" i="6"/>
  <c r="T79" i="6"/>
  <c r="T12" i="6"/>
  <c r="T19" i="6"/>
  <c r="T35" i="6"/>
  <c r="T44" i="6"/>
  <c r="T26" i="6"/>
  <c r="T57" i="6"/>
  <c r="T63" i="6"/>
  <c r="T77" i="6"/>
  <c r="T20" i="6"/>
  <c r="T36" i="6"/>
  <c r="T11" i="6"/>
  <c r="T27" i="6"/>
  <c r="T49" i="6"/>
  <c r="T55" i="6"/>
  <c r="T58" i="6"/>
  <c r="T78" i="6"/>
  <c r="AC24" i="6"/>
  <c r="AC32" i="6"/>
  <c r="AC40" i="6"/>
  <c r="AC48" i="6"/>
  <c r="AC11" i="6"/>
  <c r="T14" i="6"/>
  <c r="AC19" i="6"/>
  <c r="T22" i="6"/>
  <c r="AC27" i="6"/>
  <c r="T30" i="6"/>
  <c r="AC35" i="6"/>
  <c r="T38" i="6"/>
  <c r="AC43" i="6"/>
  <c r="T46" i="6"/>
  <c r="AC51" i="6"/>
  <c r="T54" i="6"/>
  <c r="AC59" i="6"/>
  <c r="T62" i="6"/>
  <c r="AC78" i="6"/>
  <c r="AC56" i="6"/>
  <c r="AC75" i="6"/>
  <c r="AC14" i="6"/>
  <c r="AC22" i="6"/>
  <c r="AC30" i="6"/>
  <c r="AC38" i="6"/>
  <c r="AC46" i="6"/>
  <c r="AC54" i="6"/>
  <c r="AC62" i="6"/>
  <c r="AC17" i="6"/>
  <c r="AC41" i="6"/>
  <c r="AC16" i="6"/>
  <c r="AC25" i="6"/>
  <c r="AC33" i="6"/>
  <c r="AC49" i="6"/>
  <c r="AC57" i="6"/>
  <c r="AC76" i="6"/>
  <c r="AC12" i="6"/>
  <c r="T15" i="6"/>
  <c r="AC20" i="6"/>
  <c r="T23" i="6"/>
  <c r="AC28" i="6"/>
  <c r="T31" i="6"/>
  <c r="AC36" i="6"/>
  <c r="AC44" i="6"/>
  <c r="AC52" i="6"/>
  <c r="AC60" i="6"/>
  <c r="AC79" i="6"/>
  <c r="AC23" i="6"/>
  <c r="AC31" i="6"/>
  <c r="AC39" i="6"/>
  <c r="AC47" i="6"/>
  <c r="AC55" i="6"/>
  <c r="AC63" i="6"/>
  <c r="AC42" i="6"/>
  <c r="T45" i="6"/>
  <c r="AC50" i="6"/>
  <c r="T53" i="6"/>
  <c r="AC58" i="6"/>
  <c r="T61" i="6"/>
  <c r="AC77" i="6"/>
  <c r="AC85" i="6"/>
  <c r="AC15" i="6"/>
  <c r="AC10" i="6"/>
  <c r="T13" i="6"/>
  <c r="AC18" i="6"/>
  <c r="T21" i="6"/>
  <c r="AC26" i="6"/>
  <c r="T29" i="6"/>
  <c r="AC34" i="6"/>
  <c r="T37" i="6"/>
  <c r="AC13" i="6"/>
  <c r="T16" i="6"/>
  <c r="AC21" i="6"/>
  <c r="T24" i="6"/>
  <c r="AC29" i="6"/>
  <c r="T32" i="6"/>
  <c r="AC37" i="6"/>
  <c r="T40" i="6"/>
  <c r="AC45" i="6"/>
  <c r="AC53" i="6"/>
  <c r="T56" i="6"/>
  <c r="AC61" i="6"/>
  <c r="T75" i="6"/>
  <c r="J18" i="4" l="1"/>
  <c r="I48" i="6"/>
  <c r="AM19" i="8"/>
  <c r="AM26" i="8"/>
  <c r="AM25" i="8"/>
  <c r="AM15" i="8"/>
  <c r="AM29" i="8"/>
  <c r="AM27" i="8"/>
  <c r="AM23" i="8"/>
  <c r="J17" i="4"/>
  <c r="J15" i="4"/>
  <c r="J21" i="4"/>
  <c r="J23" i="4"/>
  <c r="J20" i="4"/>
  <c r="T10" i="6"/>
  <c r="J38" i="4"/>
  <c r="J10" i="4"/>
  <c r="J14" i="4"/>
  <c r="J37" i="4"/>
  <c r="J30" i="4"/>
  <c r="J39" i="4"/>
  <c r="J29" i="4"/>
  <c r="J16" i="4"/>
  <c r="J12" i="4"/>
  <c r="Z48" i="6"/>
  <c r="J25" i="4"/>
  <c r="J27" i="4"/>
  <c r="E31" i="5"/>
  <c r="J11" i="4"/>
  <c r="J13" i="4"/>
  <c r="AA10" i="6"/>
  <c r="E35" i="5"/>
  <c r="L35" i="5"/>
  <c r="J28" i="4"/>
  <c r="J26" i="4"/>
  <c r="J19" i="4"/>
  <c r="J24" i="4"/>
  <c r="J31" i="4"/>
  <c r="J22" i="4"/>
  <c r="J39" i="5"/>
  <c r="E43" i="5"/>
  <c r="E41" i="5"/>
  <c r="J54" i="5"/>
  <c r="E46" i="5"/>
  <c r="J52" i="5"/>
  <c r="J48" i="5"/>
  <c r="E48" i="5"/>
  <c r="E47" i="5"/>
  <c r="E50" i="5"/>
  <c r="E49" i="5"/>
  <c r="E38" i="5"/>
  <c r="E53" i="5"/>
  <c r="J38" i="5"/>
  <c r="E51" i="5"/>
  <c r="E39" i="5"/>
  <c r="J42" i="5"/>
  <c r="E42" i="5"/>
  <c r="E36" i="5"/>
  <c r="J44" i="5"/>
  <c r="J36" i="5"/>
  <c r="N36" i="5" s="1"/>
  <c r="J45" i="5"/>
  <c r="AF38" i="4"/>
  <c r="AF39" i="4" s="1"/>
  <c r="AF40" i="4" s="1"/>
  <c r="AF41" i="4" s="1"/>
  <c r="AF42" i="4" s="1"/>
  <c r="AF43" i="4" s="1"/>
  <c r="AF44" i="4" s="1"/>
  <c r="AF45" i="4" s="1"/>
  <c r="AF46" i="4" s="1"/>
  <c r="AF47" i="4" s="1"/>
  <c r="AF48" i="4" s="1"/>
  <c r="AF49" i="4" s="1"/>
  <c r="AF50" i="4" s="1"/>
  <c r="AF51" i="4" s="1"/>
  <c r="AF52" i="4" s="1"/>
  <c r="AF53" i="4" s="1"/>
  <c r="AF54" i="4" s="1"/>
  <c r="AF55" i="4" s="1"/>
  <c r="AF56" i="4" s="1"/>
  <c r="AH38" i="4" s="1"/>
  <c r="D37" i="5"/>
  <c r="L37" i="5" s="1"/>
  <c r="C37" i="5"/>
  <c r="K37" i="5" s="1"/>
  <c r="O37" i="5"/>
  <c r="D54" i="5"/>
  <c r="L54" i="5" s="1"/>
  <c r="C54" i="5"/>
  <c r="K54" i="5" s="1"/>
  <c r="D51" i="5"/>
  <c r="L51" i="5" s="1"/>
  <c r="C51" i="5"/>
  <c r="K51" i="5" s="1"/>
  <c r="D40" i="5"/>
  <c r="L40" i="5" s="1"/>
  <c r="C40" i="5"/>
  <c r="K40" i="5" s="1"/>
  <c r="D38" i="5"/>
  <c r="L38" i="5" s="1"/>
  <c r="C38" i="5"/>
  <c r="K38" i="5" s="1"/>
  <c r="D42" i="5"/>
  <c r="L42" i="5" s="1"/>
  <c r="C42" i="5"/>
  <c r="K42" i="5" s="1"/>
  <c r="C39" i="5"/>
  <c r="K39" i="5" s="1"/>
  <c r="D39" i="5"/>
  <c r="L39" i="5" s="1"/>
  <c r="D48" i="5"/>
  <c r="L48" i="5" s="1"/>
  <c r="C48" i="5"/>
  <c r="K48" i="5" s="1"/>
  <c r="E37" i="5"/>
  <c r="E40" i="5"/>
  <c r="J37" i="5"/>
  <c r="J40" i="5"/>
  <c r="AM20" i="8"/>
  <c r="D46" i="5"/>
  <c r="L46" i="5" s="1"/>
  <c r="C46" i="5"/>
  <c r="K46" i="5" s="1"/>
  <c r="D44" i="5"/>
  <c r="L44" i="5" s="1"/>
  <c r="C44" i="5"/>
  <c r="K44" i="5" s="1"/>
  <c r="D52" i="5"/>
  <c r="L52" i="5" s="1"/>
  <c r="C52" i="5"/>
  <c r="K52" i="5" s="1"/>
  <c r="C43" i="5"/>
  <c r="K43" i="5" s="1"/>
  <c r="D43" i="5"/>
  <c r="L43" i="5" s="1"/>
  <c r="C47" i="5"/>
  <c r="K47" i="5" s="1"/>
  <c r="D47" i="5"/>
  <c r="L47" i="5" s="1"/>
  <c r="O46" i="5"/>
  <c r="O44" i="5"/>
  <c r="O52" i="5"/>
  <c r="O43" i="5"/>
  <c r="O47" i="5"/>
  <c r="D45" i="5"/>
  <c r="L45" i="5" s="1"/>
  <c r="C45" i="5"/>
  <c r="K45" i="5" s="1"/>
  <c r="AM16" i="8"/>
  <c r="D50" i="5"/>
  <c r="L50" i="5" s="1"/>
  <c r="C50" i="5"/>
  <c r="K50" i="5" s="1"/>
  <c r="D41" i="5"/>
  <c r="L41" i="5" s="1"/>
  <c r="C41" i="5"/>
  <c r="K41" i="5" s="1"/>
  <c r="D49" i="5"/>
  <c r="L49" i="5" s="1"/>
  <c r="C49" i="5"/>
  <c r="K49" i="5" s="1"/>
  <c r="D53" i="5"/>
  <c r="L53" i="5" s="1"/>
  <c r="C53" i="5"/>
  <c r="K53" i="5" s="1"/>
  <c r="D36" i="5"/>
  <c r="L36" i="5" s="1"/>
  <c r="C36" i="5"/>
  <c r="K36" i="5" s="1"/>
  <c r="E45" i="5"/>
  <c r="E54" i="5"/>
  <c r="J51" i="5"/>
  <c r="O50" i="5"/>
  <c r="O41" i="5"/>
  <c r="O49" i="5"/>
  <c r="O53" i="5"/>
  <c r="O36" i="5"/>
  <c r="AH14" i="4" l="1"/>
  <c r="AH23" i="4"/>
  <c r="AH24" i="4"/>
  <c r="AH31" i="4"/>
  <c r="AH7" i="4"/>
  <c r="AH18" i="4"/>
  <c r="AH30" i="4"/>
  <c r="AH20" i="4"/>
  <c r="AH19" i="4"/>
  <c r="AH12" i="4"/>
  <c r="AH16" i="4"/>
  <c r="AH22" i="4"/>
  <c r="AH27" i="4"/>
  <c r="AH11" i="4"/>
  <c r="AH17" i="4"/>
  <c r="AH32" i="4"/>
  <c r="AH10" i="4"/>
  <c r="AH25" i="4"/>
  <c r="AH26" i="4"/>
  <c r="AH13" i="4"/>
  <c r="AH8" i="4"/>
  <c r="AH9" i="4"/>
  <c r="AH28" i="4"/>
  <c r="AH21" i="4"/>
  <c r="AH15" i="4"/>
  <c r="AH29" i="4"/>
  <c r="AH43" i="4"/>
  <c r="N37" i="5"/>
  <c r="AH34" i="4"/>
  <c r="AH36" i="4"/>
  <c r="AH52" i="4"/>
  <c r="AH37" i="4"/>
  <c r="AH42" i="4"/>
  <c r="AH33" i="4"/>
  <c r="AH49" i="4"/>
  <c r="AH41" i="4"/>
  <c r="AH44" i="4"/>
  <c r="AH50" i="4"/>
  <c r="AH45" i="4"/>
  <c r="AH54" i="4"/>
  <c r="AH39" i="4"/>
  <c r="AH51" i="4"/>
  <c r="AH55" i="4"/>
  <c r="AH47" i="4"/>
  <c r="AH35" i="4"/>
  <c r="AH53" i="4"/>
  <c r="AH40" i="4"/>
  <c r="AH48" i="4"/>
  <c r="AH46" i="4"/>
  <c r="AH56" i="4"/>
  <c r="F12" i="10"/>
  <c r="G12" i="10"/>
  <c r="F13" i="10"/>
  <c r="G13" i="10"/>
  <c r="F14" i="10"/>
  <c r="G14" i="10"/>
  <c r="G10" i="10"/>
  <c r="F10" i="10"/>
  <c r="E16" i="10"/>
  <c r="D16" i="10" s="1"/>
  <c r="C15" i="10" s="1"/>
  <c r="E17" i="10"/>
  <c r="D17" i="10" s="1"/>
  <c r="C16" i="10" s="1"/>
  <c r="E18" i="10"/>
  <c r="D18" i="10" s="1"/>
  <c r="C17" i="10" s="1"/>
  <c r="E19" i="10"/>
  <c r="D19" i="10" s="1"/>
  <c r="C18" i="10" s="1"/>
  <c r="E20" i="10"/>
  <c r="D20" i="10" s="1"/>
  <c r="C19" i="10" s="1"/>
  <c r="E21" i="10"/>
  <c r="D21" i="10" s="1"/>
  <c r="C20" i="10" s="1"/>
  <c r="E22" i="10"/>
  <c r="D22" i="10" s="1"/>
  <c r="C21" i="10" s="1"/>
  <c r="E23" i="10"/>
  <c r="D23" i="10" s="1"/>
  <c r="C22" i="10" s="1"/>
  <c r="E24" i="10"/>
  <c r="D24" i="10" s="1"/>
  <c r="C23" i="10" s="1"/>
  <c r="E25" i="10"/>
  <c r="D25" i="10" s="1"/>
  <c r="C24" i="10" s="1"/>
  <c r="E26" i="10"/>
  <c r="D26" i="10" s="1"/>
  <c r="C25" i="10" s="1"/>
  <c r="E27" i="10"/>
  <c r="D27" i="10" s="1"/>
  <c r="C26" i="10" s="1"/>
  <c r="E28" i="10"/>
  <c r="D28" i="10" s="1"/>
  <c r="C27" i="10" s="1"/>
  <c r="E29" i="10"/>
  <c r="D29" i="10" s="1"/>
  <c r="C28" i="10" s="1"/>
  <c r="E30" i="10"/>
  <c r="D30" i="10" s="1"/>
  <c r="C29" i="10" s="1"/>
  <c r="E31" i="10"/>
  <c r="D31" i="10" s="1"/>
  <c r="C30" i="10" s="1"/>
  <c r="E32" i="10"/>
  <c r="D32" i="10" s="1"/>
  <c r="C31" i="10" s="1"/>
  <c r="E33" i="10"/>
  <c r="D33" i="10" s="1"/>
  <c r="C32" i="10" s="1"/>
  <c r="E34" i="10"/>
  <c r="D34" i="10" s="1"/>
  <c r="C33" i="10" s="1"/>
  <c r="E35" i="10"/>
  <c r="D35" i="10" s="1"/>
  <c r="C34" i="10" s="1"/>
  <c r="E36" i="10"/>
  <c r="D36" i="10" s="1"/>
  <c r="C35" i="10" s="1"/>
  <c r="E37" i="10"/>
  <c r="D37" i="10" s="1"/>
  <c r="C36" i="10" s="1"/>
  <c r="E38" i="10"/>
  <c r="D38" i="10" s="1"/>
  <c r="E39" i="10"/>
  <c r="D39" i="10" s="1"/>
  <c r="C38" i="10" s="1"/>
  <c r="E40" i="10"/>
  <c r="D40" i="10" s="1"/>
  <c r="C39" i="10" s="1"/>
  <c r="E41" i="10"/>
  <c r="D41" i="10" s="1"/>
  <c r="C40" i="10" s="1"/>
  <c r="E42" i="10"/>
  <c r="D42" i="10" s="1"/>
  <c r="C41" i="10" s="1"/>
  <c r="E43" i="10"/>
  <c r="D43" i="10" s="1"/>
  <c r="C42" i="10" s="1"/>
  <c r="E44" i="10"/>
  <c r="D44" i="10" s="1"/>
  <c r="C43" i="10" s="1"/>
  <c r="E45" i="10"/>
  <c r="D45" i="10" s="1"/>
  <c r="E46" i="10"/>
  <c r="D46" i="10" s="1"/>
  <c r="C45" i="10" s="1"/>
  <c r="E47" i="10"/>
  <c r="D47" i="10" s="1"/>
  <c r="E48" i="10"/>
  <c r="D48" i="10" s="1"/>
  <c r="C47" i="10" s="1"/>
  <c r="F48" i="10" s="1"/>
  <c r="E49" i="10"/>
  <c r="D49" i="10" s="1"/>
  <c r="C48" i="10" s="1"/>
  <c r="F49" i="10" s="1"/>
  <c r="E50" i="10"/>
  <c r="D50" i="10" s="1"/>
  <c r="C49" i="10" s="1"/>
  <c r="F50" i="10" s="1"/>
  <c r="E15" i="10"/>
  <c r="D15" i="10" s="1"/>
  <c r="E13" i="10"/>
  <c r="E14" i="10"/>
  <c r="E12" i="10"/>
  <c r="C46" i="10" l="1"/>
  <c r="F47" i="10" s="1"/>
  <c r="G47" i="10"/>
  <c r="G44" i="10"/>
  <c r="G49" i="10"/>
  <c r="G46" i="10"/>
  <c r="G36" i="10"/>
  <c r="G30" i="10"/>
  <c r="G28" i="10"/>
  <c r="G22" i="10"/>
  <c r="G50" i="10"/>
  <c r="G20" i="10"/>
  <c r="C37" i="10"/>
  <c r="G38" i="10"/>
  <c r="C14" i="10"/>
  <c r="G15" i="10"/>
  <c r="C44" i="10"/>
  <c r="G45" i="10"/>
  <c r="G37" i="10"/>
  <c r="G29" i="10"/>
  <c r="G21" i="10"/>
  <c r="G43" i="10"/>
  <c r="G35" i="10"/>
  <c r="G27" i="10"/>
  <c r="G19" i="10"/>
  <c r="G48" i="10"/>
  <c r="G42" i="10"/>
  <c r="G34" i="10"/>
  <c r="G26" i="10"/>
  <c r="G18" i="10"/>
  <c r="G41" i="10"/>
  <c r="G33" i="10"/>
  <c r="G25" i="10"/>
  <c r="G17" i="10"/>
  <c r="G40" i="10"/>
  <c r="G32" i="10"/>
  <c r="G24" i="10"/>
  <c r="G16" i="10"/>
  <c r="G39" i="10"/>
  <c r="G31" i="10"/>
  <c r="G23" i="10"/>
  <c r="N38" i="5"/>
  <c r="N39" i="5" s="1"/>
  <c r="N40" i="5" s="1"/>
  <c r="N41" i="5" s="1"/>
  <c r="N42" i="5" s="1"/>
  <c r="N43" i="5" s="1"/>
  <c r="N44" i="5" s="1"/>
  <c r="N45" i="5" s="1"/>
  <c r="N46" i="5" s="1"/>
  <c r="N47" i="5" s="1"/>
  <c r="N48" i="5" s="1"/>
  <c r="N49" i="5" s="1"/>
  <c r="N50" i="5" s="1"/>
  <c r="N51" i="5" s="1"/>
  <c r="N52" i="5" s="1"/>
  <c r="N53" i="5" s="1"/>
  <c r="N54" i="5" s="1"/>
  <c r="P27" i="5" s="1"/>
  <c r="B71" i="14" s="1"/>
  <c r="P7" i="5"/>
  <c r="AH6" i="4"/>
  <c r="W17" i="8"/>
  <c r="AD17" i="8"/>
  <c r="W20" i="8"/>
  <c r="AD20" i="8"/>
  <c r="Q55" i="4"/>
  <c r="Q53" i="4"/>
  <c r="P47" i="4"/>
  <c r="Q40" i="4"/>
  <c r="P43" i="4"/>
  <c r="Q42" i="4"/>
  <c r="Q45" i="4"/>
  <c r="Q54" i="4"/>
  <c r="P50" i="4"/>
  <c r="P54" i="4"/>
  <c r="P56" i="4"/>
  <c r="Q48" i="4"/>
  <c r="P44" i="4"/>
  <c r="AB44" i="4" s="1"/>
  <c r="P46" i="4"/>
  <c r="P41" i="4"/>
  <c r="Q43" i="4"/>
  <c r="P48" i="4"/>
  <c r="Q49" i="4"/>
  <c r="Q47" i="4"/>
  <c r="P42" i="4"/>
  <c r="Q44" i="4"/>
  <c r="AC44" i="4" s="1"/>
  <c r="P45" i="4"/>
  <c r="Q46" i="4"/>
  <c r="Q41" i="4"/>
  <c r="Q56" i="4"/>
  <c r="Q37" i="4"/>
  <c r="AC37" i="4" s="1"/>
  <c r="P55" i="4"/>
  <c r="P53" i="4"/>
  <c r="P52" i="4"/>
  <c r="P37" i="4"/>
  <c r="AB37" i="4" s="1"/>
  <c r="P51" i="4"/>
  <c r="Q50" i="4"/>
  <c r="Q52" i="4"/>
  <c r="Q39" i="4"/>
  <c r="AC39" i="4" s="1"/>
  <c r="Q51" i="4"/>
  <c r="P49" i="4"/>
  <c r="P39" i="4"/>
  <c r="AB39" i="4" s="1"/>
  <c r="P38" i="4"/>
  <c r="AB38" i="4" s="1"/>
  <c r="P40" i="4"/>
  <c r="Q38" i="4"/>
  <c r="AC38" i="4" s="1"/>
  <c r="P7" i="4"/>
  <c r="AB7" i="4" s="1"/>
  <c r="P9" i="4"/>
  <c r="AB9" i="4" s="1"/>
  <c r="Q11" i="4"/>
  <c r="AC11" i="4" s="1"/>
  <c r="P13" i="4"/>
  <c r="AB13" i="4" s="1"/>
  <c r="Q18" i="4"/>
  <c r="AC18" i="4" s="1"/>
  <c r="Q20" i="4"/>
  <c r="AC20" i="4" s="1"/>
  <c r="P22" i="4"/>
  <c r="AB22" i="4" s="1"/>
  <c r="P24" i="4"/>
  <c r="AB24" i="4" s="1"/>
  <c r="Q9" i="4"/>
  <c r="AC9" i="4" s="1"/>
  <c r="Q13" i="4"/>
  <c r="AC13" i="4" s="1"/>
  <c r="P15" i="4"/>
  <c r="AB15" i="4" s="1"/>
  <c r="Q22" i="4"/>
  <c r="AC22" i="4" s="1"/>
  <c r="Q24" i="4"/>
  <c r="AC24" i="4" s="1"/>
  <c r="P26" i="4"/>
  <c r="AB26" i="4" s="1"/>
  <c r="Q14" i="4"/>
  <c r="AC14" i="4" s="1"/>
  <c r="P29" i="4"/>
  <c r="AB29" i="4" s="1"/>
  <c r="Q15" i="4"/>
  <c r="AC15" i="4" s="1"/>
  <c r="P17" i="4"/>
  <c r="AB17" i="4" s="1"/>
  <c r="Q26" i="4"/>
  <c r="AC26" i="4" s="1"/>
  <c r="P28" i="4"/>
  <c r="AB28" i="4" s="1"/>
  <c r="P30" i="4"/>
  <c r="AB30" i="4" s="1"/>
  <c r="P31" i="4"/>
  <c r="AB31" i="4" s="1"/>
  <c r="P16" i="4"/>
  <c r="AB16" i="4" s="1"/>
  <c r="P10" i="4"/>
  <c r="AB10" i="4" s="1"/>
  <c r="P12" i="4"/>
  <c r="AB12" i="4" s="1"/>
  <c r="Q17" i="4"/>
  <c r="AC17" i="4" s="1"/>
  <c r="P19" i="4"/>
  <c r="AB19" i="4" s="1"/>
  <c r="Q28" i="4"/>
  <c r="AC28" i="4" s="1"/>
  <c r="Q30" i="4"/>
  <c r="AC30" i="4" s="1"/>
  <c r="Q31" i="4"/>
  <c r="AC31" i="4" s="1"/>
  <c r="Q27" i="4"/>
  <c r="AC27" i="4" s="1"/>
  <c r="P8" i="4"/>
  <c r="AB8" i="4" s="1"/>
  <c r="Q10" i="4"/>
  <c r="AC10" i="4" s="1"/>
  <c r="Q12" i="4"/>
  <c r="AC12" i="4" s="1"/>
  <c r="Q19" i="4"/>
  <c r="AC19" i="4" s="1"/>
  <c r="P21" i="4"/>
  <c r="AB21" i="4" s="1"/>
  <c r="P23" i="4"/>
  <c r="AB23" i="4" s="1"/>
  <c r="P25" i="4"/>
  <c r="AB25" i="4" s="1"/>
  <c r="Q8" i="4"/>
  <c r="AC8" i="4" s="1"/>
  <c r="P14" i="4"/>
  <c r="AB14" i="4" s="1"/>
  <c r="Q21" i="4"/>
  <c r="AC21" i="4" s="1"/>
  <c r="Q23" i="4"/>
  <c r="AC23" i="4" s="1"/>
  <c r="Q25" i="4"/>
  <c r="AC25" i="4" s="1"/>
  <c r="P27" i="4"/>
  <c r="AB27" i="4" s="1"/>
  <c r="Q29" i="4"/>
  <c r="AC29" i="4" s="1"/>
  <c r="P11" i="4"/>
  <c r="AB11" i="4" s="1"/>
  <c r="Q16" i="4"/>
  <c r="AC16" i="4" s="1"/>
  <c r="P18" i="4"/>
  <c r="AB18" i="4" s="1"/>
  <c r="P20" i="4"/>
  <c r="AB20" i="4" s="1"/>
  <c r="Q7" i="4"/>
  <c r="AC7" i="4" s="1"/>
  <c r="N3" i="9"/>
  <c r="N2" i="9"/>
  <c r="E30" i="5"/>
  <c r="E29" i="5"/>
  <c r="E28" i="5"/>
  <c r="E27" i="5"/>
  <c r="E26" i="5"/>
  <c r="E25" i="5"/>
  <c r="E24" i="5"/>
  <c r="E23" i="5"/>
  <c r="E22" i="5"/>
  <c r="E21" i="5"/>
  <c r="E20" i="5"/>
  <c r="E19" i="5"/>
  <c r="E18" i="5"/>
  <c r="E17" i="5"/>
  <c r="E16" i="5"/>
  <c r="E15" i="5"/>
  <c r="E14" i="5"/>
  <c r="E13" i="5"/>
  <c r="E12" i="5"/>
  <c r="E11" i="5"/>
  <c r="E10" i="5"/>
  <c r="A3" i="8"/>
  <c r="O8" i="4"/>
  <c r="O9" i="4"/>
  <c r="O10" i="4"/>
  <c r="O11" i="4"/>
  <c r="O12" i="4"/>
  <c r="O13" i="4"/>
  <c r="O14" i="4"/>
  <c r="O15" i="4"/>
  <c r="O16" i="4"/>
  <c r="O17" i="4"/>
  <c r="O18" i="4"/>
  <c r="O19" i="4"/>
  <c r="O20" i="4"/>
  <c r="O21" i="4"/>
  <c r="O22" i="4"/>
  <c r="O23" i="4"/>
  <c r="O24" i="4"/>
  <c r="O25" i="4"/>
  <c r="O26" i="4"/>
  <c r="O27" i="4"/>
  <c r="O28" i="4"/>
  <c r="O29" i="4"/>
  <c r="O30" i="4"/>
  <c r="O31" i="4"/>
  <c r="G9" i="5"/>
  <c r="G10" i="5"/>
  <c r="G11" i="5"/>
  <c r="G12" i="5"/>
  <c r="G13" i="5"/>
  <c r="G14" i="5"/>
  <c r="G15" i="5"/>
  <c r="G16" i="5"/>
  <c r="G17" i="5"/>
  <c r="G18" i="5"/>
  <c r="G19" i="5"/>
  <c r="G20" i="5"/>
  <c r="G21" i="5"/>
  <c r="G22" i="5"/>
  <c r="G23" i="5"/>
  <c r="G24" i="5"/>
  <c r="G25" i="5"/>
  <c r="G26" i="5"/>
  <c r="G27" i="5"/>
  <c r="G28" i="5"/>
  <c r="G29" i="5"/>
  <c r="G30" i="5"/>
  <c r="G8" i="5"/>
  <c r="A3" i="6"/>
  <c r="A3" i="4"/>
  <c r="A4" i="5"/>
  <c r="O7" i="4"/>
  <c r="D6" i="6" s="1"/>
  <c r="I6" i="6" s="1"/>
  <c r="P6" i="5"/>
  <c r="Y8" i="8"/>
  <c r="W15" i="8" l="1"/>
  <c r="Q6" i="6"/>
  <c r="S6" i="6"/>
  <c r="I3" i="9"/>
  <c r="W18" i="8"/>
  <c r="W16" i="8"/>
  <c r="P50" i="5"/>
  <c r="P39" i="5"/>
  <c r="P18" i="5"/>
  <c r="B44" i="14" s="1"/>
  <c r="P17" i="5"/>
  <c r="B31" i="14" s="1"/>
  <c r="P24" i="5"/>
  <c r="B62" i="14" s="1"/>
  <c r="P46" i="5"/>
  <c r="P19" i="5"/>
  <c r="B47" i="14" s="1"/>
  <c r="P44" i="5"/>
  <c r="P54" i="5"/>
  <c r="P38" i="5"/>
  <c r="P30" i="5"/>
  <c r="B90" i="14" s="1"/>
  <c r="P10" i="5"/>
  <c r="P11" i="5"/>
  <c r="P47" i="5"/>
  <c r="P14" i="5"/>
  <c r="B22" i="14" s="1"/>
  <c r="P53" i="5"/>
  <c r="P35" i="5"/>
  <c r="B105" i="14" s="1"/>
  <c r="P42" i="5"/>
  <c r="P25" i="5"/>
  <c r="B65" i="14" s="1"/>
  <c r="P32" i="5"/>
  <c r="B96" i="14" s="1"/>
  <c r="P22" i="5"/>
  <c r="B56" i="14" s="1"/>
  <c r="P52" i="5"/>
  <c r="P12" i="5"/>
  <c r="B16" i="14" s="1"/>
  <c r="P51" i="5"/>
  <c r="P36" i="5"/>
  <c r="B108" i="14" s="1"/>
  <c r="P37" i="5"/>
  <c r="B111" i="14" s="1"/>
  <c r="P13" i="5"/>
  <c r="B19" i="14" s="1"/>
  <c r="P28" i="5"/>
  <c r="B84" i="14" s="1"/>
  <c r="P15" i="5"/>
  <c r="B25" i="14" s="1"/>
  <c r="P16" i="5"/>
  <c r="B28" i="14" s="1"/>
  <c r="P49" i="5"/>
  <c r="P20" i="5"/>
  <c r="B50" i="14" s="1"/>
  <c r="P9" i="5"/>
  <c r="P43" i="5"/>
  <c r="P41" i="5"/>
  <c r="P29" i="5"/>
  <c r="B87" i="14" s="1"/>
  <c r="P34" i="5"/>
  <c r="B102" i="14" s="1"/>
  <c r="P33" i="5"/>
  <c r="B99" i="14" s="1"/>
  <c r="P21" i="5"/>
  <c r="B53" i="14" s="1"/>
  <c r="P40" i="5"/>
  <c r="P45" i="5"/>
  <c r="P48" i="5"/>
  <c r="P31" i="5"/>
  <c r="B93" i="14" s="1"/>
  <c r="P23" i="5"/>
  <c r="B59" i="14" s="1"/>
  <c r="P26" i="5"/>
  <c r="B68" i="14" s="1"/>
  <c r="P8" i="5"/>
  <c r="W53" i="8"/>
  <c r="W51" i="8"/>
  <c r="W49" i="8"/>
  <c r="W46" i="8"/>
  <c r="W43" i="8"/>
  <c r="W34" i="8"/>
  <c r="W31" i="8"/>
  <c r="W29" i="8"/>
  <c r="W26" i="8"/>
  <c r="W23" i="8"/>
  <c r="AA7" i="6"/>
  <c r="AA9" i="6"/>
  <c r="AA8" i="6"/>
  <c r="Y9" i="8"/>
  <c r="AG3" i="4"/>
  <c r="AD15" i="8" l="1"/>
  <c r="B7" i="14"/>
  <c r="B4" i="14"/>
  <c r="B13" i="14"/>
  <c r="B10" i="14"/>
  <c r="AD18" i="8"/>
  <c r="AD16" i="8"/>
  <c r="AD46" i="8"/>
  <c r="AD26" i="8"/>
  <c r="AD29" i="8"/>
  <c r="AD53" i="8"/>
  <c r="AD43" i="8"/>
  <c r="AD41" i="8"/>
  <c r="AD51" i="8"/>
  <c r="AD23" i="8"/>
  <c r="AD34" i="8"/>
  <c r="AD31" i="8"/>
  <c r="AD49" i="8"/>
  <c r="J8" i="4"/>
  <c r="J7" i="4"/>
  <c r="J9" i="4"/>
  <c r="T9" i="6"/>
  <c r="T7" i="6"/>
  <c r="T8" i="6"/>
  <c r="U8" i="6" s="1"/>
  <c r="R8" i="6" s="1"/>
  <c r="Y7" i="6"/>
  <c r="J3" i="6"/>
  <c r="Y8" i="6"/>
  <c r="Y9" i="6"/>
  <c r="T6" i="6"/>
  <c r="E8" i="5"/>
  <c r="E9" i="5"/>
  <c r="AA6" i="6"/>
  <c r="Z8" i="6"/>
  <c r="Z9" i="6"/>
  <c r="Z7" i="6"/>
  <c r="Y6" i="6"/>
  <c r="Z6" i="6"/>
  <c r="U83" i="6" l="1"/>
  <c r="U81" i="6"/>
  <c r="U82" i="6"/>
  <c r="U84" i="6"/>
  <c r="U80" i="6"/>
  <c r="U70" i="6"/>
  <c r="U67" i="6"/>
  <c r="U71" i="6"/>
  <c r="U69" i="6"/>
  <c r="U73" i="6"/>
  <c r="U68" i="6"/>
  <c r="U66" i="6"/>
  <c r="U72" i="6"/>
  <c r="U74" i="6"/>
  <c r="U78" i="6"/>
  <c r="U77" i="6"/>
  <c r="U76" i="6"/>
  <c r="U79" i="6"/>
  <c r="U85" i="6"/>
  <c r="U75" i="6"/>
  <c r="U65" i="6"/>
  <c r="U64" i="6"/>
  <c r="U61" i="6"/>
  <c r="U59" i="6"/>
  <c r="U56" i="6"/>
  <c r="U60" i="6"/>
  <c r="U46" i="6"/>
  <c r="U50" i="6"/>
  <c r="U48" i="6"/>
  <c r="U62" i="6"/>
  <c r="U58" i="6"/>
  <c r="U52" i="6"/>
  <c r="U63" i="6"/>
  <c r="U54" i="6"/>
  <c r="U53" i="6"/>
  <c r="U49" i="6"/>
  <c r="U55" i="6"/>
  <c r="U47" i="6"/>
  <c r="U57" i="6"/>
  <c r="U51" i="6"/>
  <c r="U25" i="6"/>
  <c r="U31" i="6"/>
  <c r="U36" i="6"/>
  <c r="U34" i="6"/>
  <c r="U45" i="6"/>
  <c r="U35" i="6"/>
  <c r="U26" i="6"/>
  <c r="U44" i="6"/>
  <c r="U28" i="6"/>
  <c r="U39" i="6"/>
  <c r="U41" i="6"/>
  <c r="U33" i="6"/>
  <c r="U30" i="6"/>
  <c r="U38" i="6"/>
  <c r="U29" i="6"/>
  <c r="U43" i="6"/>
  <c r="U27" i="6"/>
  <c r="U40" i="6"/>
  <c r="U32" i="6"/>
  <c r="U42" i="6"/>
  <c r="U37" i="6"/>
  <c r="U22" i="6"/>
  <c r="U24" i="6"/>
  <c r="U13" i="6"/>
  <c r="U21" i="6"/>
  <c r="U19" i="6"/>
  <c r="U20" i="6"/>
  <c r="U15" i="6"/>
  <c r="U17" i="6"/>
  <c r="U18" i="6"/>
  <c r="U23" i="6"/>
  <c r="U14" i="6"/>
  <c r="U16" i="6"/>
  <c r="U6" i="6"/>
  <c r="R6" i="6" s="1"/>
  <c r="M6" i="6" s="1"/>
  <c r="U12" i="6"/>
  <c r="U10" i="6"/>
  <c r="U11" i="6"/>
  <c r="H3" i="6"/>
  <c r="J20" i="3" s="1"/>
  <c r="I20" i="3"/>
  <c r="U7" i="6"/>
  <c r="R7" i="6" s="1"/>
  <c r="U9" i="6"/>
  <c r="R9" i="6" s="1"/>
  <c r="AC9" i="6"/>
  <c r="AC8" i="6"/>
  <c r="AC7" i="6"/>
  <c r="AC6" i="6"/>
  <c r="R10" i="6" l="1"/>
  <c r="M10" i="6" s="1"/>
  <c r="R14" i="6"/>
  <c r="M14" i="6" s="1"/>
  <c r="R18" i="6"/>
  <c r="M18" i="6" s="1"/>
  <c r="R15" i="6"/>
  <c r="M15" i="6" s="1"/>
  <c r="R19" i="6"/>
  <c r="M19" i="6" s="1"/>
  <c r="R13" i="6"/>
  <c r="M13" i="6" s="1"/>
  <c r="R22" i="6"/>
  <c r="M22" i="6" s="1"/>
  <c r="R42" i="6"/>
  <c r="M42" i="6" s="1"/>
  <c r="R40" i="6"/>
  <c r="M40" i="6" s="1"/>
  <c r="R43" i="6"/>
  <c r="M43" i="6" s="1"/>
  <c r="R38" i="6"/>
  <c r="M38" i="6" s="1"/>
  <c r="R33" i="6"/>
  <c r="M33" i="6" s="1"/>
  <c r="R39" i="6"/>
  <c r="M39" i="6" s="1"/>
  <c r="R44" i="6"/>
  <c r="M44" i="6" s="1"/>
  <c r="R35" i="6"/>
  <c r="M35" i="6" s="1"/>
  <c r="R34" i="6"/>
  <c r="M34" i="6" s="1"/>
  <c r="R31" i="6"/>
  <c r="M31" i="6" s="1"/>
  <c r="R51" i="6"/>
  <c r="M51" i="6" s="1"/>
  <c r="R47" i="6"/>
  <c r="M47" i="6" s="1"/>
  <c r="R49" i="6"/>
  <c r="M49" i="6" s="1"/>
  <c r="R54" i="6"/>
  <c r="M54" i="6" s="1"/>
  <c r="R52" i="6"/>
  <c r="M52" i="6" s="1"/>
  <c r="R62" i="6"/>
  <c r="M62" i="6" s="1"/>
  <c r="R50" i="6"/>
  <c r="M50" i="6" s="1"/>
  <c r="R60" i="6"/>
  <c r="M60" i="6" s="1"/>
  <c r="R59" i="6"/>
  <c r="M59" i="6" s="1"/>
  <c r="R64" i="6"/>
  <c r="M64" i="6" s="1"/>
  <c r="R75" i="6"/>
  <c r="M75" i="6" s="1"/>
  <c r="R79" i="6"/>
  <c r="M79" i="6" s="1"/>
  <c r="R77" i="6"/>
  <c r="M77" i="6" s="1"/>
  <c r="R74" i="6"/>
  <c r="M74" i="6" s="1"/>
  <c r="R66" i="6"/>
  <c r="M66" i="6" s="1"/>
  <c r="R73" i="6"/>
  <c r="M73" i="6" s="1"/>
  <c r="R71" i="6"/>
  <c r="M71" i="6" s="1"/>
  <c r="R70" i="6"/>
  <c r="M70" i="6" s="1"/>
  <c r="R84" i="6"/>
  <c r="M84" i="6" s="1"/>
  <c r="R81" i="6"/>
  <c r="M81" i="6" s="1"/>
  <c r="R11" i="6"/>
  <c r="M11" i="6" s="1"/>
  <c r="R12" i="6"/>
  <c r="M12" i="6" s="1"/>
  <c r="R16" i="6"/>
  <c r="M16" i="6" s="1"/>
  <c r="R23" i="6"/>
  <c r="M23" i="6" s="1"/>
  <c r="R17" i="6"/>
  <c r="M17" i="6" s="1"/>
  <c r="R20" i="6"/>
  <c r="M20" i="6" s="1"/>
  <c r="R21" i="6"/>
  <c r="M21" i="6" s="1"/>
  <c r="R24" i="6"/>
  <c r="M24" i="6" s="1"/>
  <c r="R37" i="6"/>
  <c r="M37" i="6" s="1"/>
  <c r="R32" i="6"/>
  <c r="M32" i="6" s="1"/>
  <c r="R27" i="6"/>
  <c r="M27" i="6" s="1"/>
  <c r="R29" i="6"/>
  <c r="M29" i="6" s="1"/>
  <c r="R30" i="6"/>
  <c r="M30" i="6" s="1"/>
  <c r="R41" i="6"/>
  <c r="M41" i="6" s="1"/>
  <c r="R28" i="6"/>
  <c r="M28" i="6" s="1"/>
  <c r="R26" i="6"/>
  <c r="M26" i="6" s="1"/>
  <c r="R45" i="6"/>
  <c r="M45" i="6" s="1"/>
  <c r="R36" i="6"/>
  <c r="M36" i="6" s="1"/>
  <c r="R25" i="6"/>
  <c r="M25" i="6" s="1"/>
  <c r="R57" i="6"/>
  <c r="M57" i="6" s="1"/>
  <c r="R55" i="6"/>
  <c r="M55" i="6" s="1"/>
  <c r="R53" i="6"/>
  <c r="M53" i="6" s="1"/>
  <c r="R63" i="6"/>
  <c r="M63" i="6" s="1"/>
  <c r="R58" i="6"/>
  <c r="M58" i="6" s="1"/>
  <c r="R48" i="6"/>
  <c r="M48" i="6" s="1"/>
  <c r="R46" i="6"/>
  <c r="M46" i="6" s="1"/>
  <c r="R56" i="6"/>
  <c r="M56" i="6" s="1"/>
  <c r="R61" i="6"/>
  <c r="M61" i="6" s="1"/>
  <c r="R65" i="6"/>
  <c r="M65" i="6" s="1"/>
  <c r="R85" i="6"/>
  <c r="M85" i="6" s="1"/>
  <c r="R76" i="6"/>
  <c r="M76" i="6" s="1"/>
  <c r="R78" i="6"/>
  <c r="M78" i="6" s="1"/>
  <c r="R72" i="6"/>
  <c r="M72" i="6" s="1"/>
  <c r="R68" i="6"/>
  <c r="M68" i="6" s="1"/>
  <c r="R69" i="6"/>
  <c r="M69" i="6" s="1"/>
  <c r="R67" i="6"/>
  <c r="M67" i="6" s="1"/>
  <c r="R80" i="6"/>
  <c r="M80" i="6" s="1"/>
  <c r="R82" i="6"/>
  <c r="M82" i="6" s="1"/>
  <c r="R83" i="6"/>
  <c r="M83" i="6" s="1"/>
  <c r="M8" i="6"/>
  <c r="M9" i="6"/>
  <c r="M7" i="6"/>
  <c r="J19" i="3" l="1"/>
  <c r="J23" i="3" s="1"/>
</calcChain>
</file>

<file path=xl/sharedStrings.xml><?xml version="1.0" encoding="utf-8"?>
<sst xmlns="http://schemas.openxmlformats.org/spreadsheetml/2006/main" count="844" uniqueCount="448">
  <si>
    <t>日程</t>
    <rPh sb="0" eb="2">
      <t>ニッテイ</t>
    </rPh>
    <phoneticPr fontId="4"/>
  </si>
  <si>
    <t>10月11日(金)</t>
    <rPh sb="2" eb="3">
      <t>ガツ</t>
    </rPh>
    <rPh sb="5" eb="6">
      <t>ニチ</t>
    </rPh>
    <rPh sb="7" eb="8">
      <t>キン</t>
    </rPh>
    <phoneticPr fontId="4"/>
  </si>
  <si>
    <t>班</t>
    <rPh sb="0" eb="1">
      <t>ハン</t>
    </rPh>
    <phoneticPr fontId="4"/>
  </si>
  <si>
    <t>チルドレン</t>
  </si>
  <si>
    <t>チルドレン</t>
    <phoneticPr fontId="4"/>
  </si>
  <si>
    <t>ジュニア</t>
    <phoneticPr fontId="4"/>
  </si>
  <si>
    <t>大学生</t>
    <rPh sb="0" eb="3">
      <t>ダイガクセイ</t>
    </rPh>
    <phoneticPr fontId="4"/>
  </si>
  <si>
    <t>一般</t>
    <rPh sb="0" eb="2">
      <t>イッパン</t>
    </rPh>
    <phoneticPr fontId="4"/>
  </si>
  <si>
    <t>社馬連</t>
    <rPh sb="0" eb="3">
      <t>シャバレン</t>
    </rPh>
    <phoneticPr fontId="4"/>
  </si>
  <si>
    <t>公認</t>
  </si>
  <si>
    <t>公認</t>
    <rPh sb="0" eb="2">
      <t>コウニン</t>
    </rPh>
    <phoneticPr fontId="4"/>
  </si>
  <si>
    <t>-</t>
  </si>
  <si>
    <t>オープン</t>
    <phoneticPr fontId="4"/>
  </si>
  <si>
    <t>A2課目馬場馬術競技</t>
    <rPh sb="4" eb="10">
      <t>バババジュツキョウギ</t>
    </rPh>
    <phoneticPr fontId="6"/>
  </si>
  <si>
    <t>M1課目馬場馬術競技</t>
    <rPh sb="4" eb="10">
      <t>バババジュツキョウギ</t>
    </rPh>
    <phoneticPr fontId="2"/>
  </si>
  <si>
    <t>自由選択課目</t>
  </si>
  <si>
    <t>Y</t>
  </si>
  <si>
    <t>A1課目馬場馬術競技</t>
    <rPh sb="4" eb="10">
      <t>バババジュツキョウギ</t>
    </rPh>
    <phoneticPr fontId="6"/>
  </si>
  <si>
    <t>FEI総合1スター馬場馬術競技</t>
    <rPh sb="3" eb="5">
      <t>ソウゴウ</t>
    </rPh>
    <phoneticPr fontId="4"/>
  </si>
  <si>
    <t>N</t>
  </si>
  <si>
    <t>部班馬場馬術競技 (速歩)</t>
  </si>
  <si>
    <t>M2課目馬場馬術競技</t>
  </si>
  <si>
    <t>競技
種目
番号</t>
    <rPh sb="0" eb="2">
      <t>キョウギ</t>
    </rPh>
    <rPh sb="3" eb="5">
      <t>シュモク</t>
    </rPh>
    <rPh sb="6" eb="8">
      <t>バンゴウ</t>
    </rPh>
    <phoneticPr fontId="4"/>
  </si>
  <si>
    <t>10月12日(土)</t>
    <rPh sb="2" eb="3">
      <t>ガツ</t>
    </rPh>
    <rPh sb="5" eb="6">
      <t>ニチ</t>
    </rPh>
    <rPh sb="6" eb="7">
      <t>キン</t>
    </rPh>
    <rPh sb="7" eb="8">
      <t>ド</t>
    </rPh>
    <phoneticPr fontId="4"/>
  </si>
  <si>
    <t>10月13日(日)</t>
    <rPh sb="2" eb="3">
      <t>ガツ</t>
    </rPh>
    <rPh sb="5" eb="6">
      <t>ニチ</t>
    </rPh>
    <rPh sb="6" eb="7">
      <t>ド</t>
    </rPh>
    <rPh sb="7" eb="8">
      <t>ニチ</t>
    </rPh>
    <phoneticPr fontId="4"/>
  </si>
  <si>
    <t>オー
プン
可否</t>
    <rPh sb="6" eb="8">
      <t>カヒ</t>
    </rPh>
    <phoneticPr fontId="4"/>
  </si>
  <si>
    <t>オー
プン</t>
    <phoneticPr fontId="4"/>
  </si>
  <si>
    <t>競技名</t>
    <rPh sb="0" eb="2">
      <t>キョウギ</t>
    </rPh>
    <rPh sb="2" eb="3">
      <t>メイ</t>
    </rPh>
    <phoneticPr fontId="4"/>
  </si>
  <si>
    <t>競技
番号</t>
    <rPh sb="0" eb="2">
      <t>キョウギ</t>
    </rPh>
    <rPh sb="3" eb="5">
      <t>バンゴウ</t>
    </rPh>
    <phoneticPr fontId="4"/>
  </si>
  <si>
    <t>備考</t>
    <rPh sb="0" eb="2">
      <t>ビコウ</t>
    </rPh>
    <phoneticPr fontId="4"/>
  </si>
  <si>
    <t>団体名</t>
    <rPh sb="0" eb="2">
      <t>ダンタイ</t>
    </rPh>
    <rPh sb="2" eb="3">
      <t>メイ</t>
    </rPh>
    <phoneticPr fontId="4"/>
  </si>
  <si>
    <t>団体住所</t>
    <rPh sb="0" eb="2">
      <t>ダンタイ</t>
    </rPh>
    <rPh sb="2" eb="4">
      <t>ジュウショ</t>
    </rPh>
    <phoneticPr fontId="4"/>
  </si>
  <si>
    <t>電話番号</t>
    <rPh sb="0" eb="2">
      <t>デンワ</t>
    </rPh>
    <rPh sb="2" eb="4">
      <t>バンゴウ</t>
    </rPh>
    <phoneticPr fontId="4"/>
  </si>
  <si>
    <t>責任者</t>
    <rPh sb="0" eb="3">
      <t>セキニンシャ</t>
    </rPh>
    <phoneticPr fontId="4"/>
  </si>
  <si>
    <t>当日連絡担当者</t>
    <rPh sb="0" eb="2">
      <t>トウジツ</t>
    </rPh>
    <rPh sb="2" eb="4">
      <t>レンラク</t>
    </rPh>
    <rPh sb="4" eb="6">
      <t>タントウ</t>
    </rPh>
    <rPh sb="6" eb="7">
      <t>シャ</t>
    </rPh>
    <phoneticPr fontId="4"/>
  </si>
  <si>
    <t>追加団体名</t>
    <rPh sb="0" eb="2">
      <t>ツイカ</t>
    </rPh>
    <rPh sb="2" eb="4">
      <t>ダンタイ</t>
    </rPh>
    <rPh sb="4" eb="5">
      <t>メイ</t>
    </rPh>
    <phoneticPr fontId="4"/>
  </si>
  <si>
    <t>番号</t>
    <rPh sb="0" eb="2">
      <t>バンゴウ</t>
    </rPh>
    <phoneticPr fontId="4"/>
  </si>
  <si>
    <t>姓</t>
    <rPh sb="0" eb="1">
      <t>セイ</t>
    </rPh>
    <phoneticPr fontId="4"/>
  </si>
  <si>
    <t>名</t>
    <rPh sb="0" eb="1">
      <t>メイ</t>
    </rPh>
    <phoneticPr fontId="4"/>
  </si>
  <si>
    <t>セイ</t>
    <phoneticPr fontId="4"/>
  </si>
  <si>
    <t>メイ</t>
    <phoneticPr fontId="4"/>
  </si>
  <si>
    <t>団体</t>
    <rPh sb="0" eb="2">
      <t>ダンタイ</t>
    </rPh>
    <phoneticPr fontId="4"/>
  </si>
  <si>
    <t>社馬連団体</t>
    <rPh sb="0" eb="3">
      <t>シャバレン</t>
    </rPh>
    <rPh sb="3" eb="5">
      <t>ダンタイ</t>
    </rPh>
    <phoneticPr fontId="4"/>
  </si>
  <si>
    <t>選手名</t>
    <rPh sb="0" eb="3">
      <t>センシュメイ</t>
    </rPh>
    <phoneticPr fontId="4"/>
  </si>
  <si>
    <t>フリガナ</t>
  </si>
  <si>
    <t>フリガナ</t>
    <phoneticPr fontId="4"/>
  </si>
  <si>
    <t>馬名</t>
    <rPh sb="0" eb="2">
      <t>バメイ</t>
    </rPh>
    <phoneticPr fontId="4"/>
  </si>
  <si>
    <t>種目名</t>
    <rPh sb="0" eb="2">
      <t>シュモク</t>
    </rPh>
    <rPh sb="2" eb="3">
      <t>メイ</t>
    </rPh>
    <phoneticPr fontId="4"/>
  </si>
  <si>
    <t>馬匹名</t>
    <rPh sb="0" eb="2">
      <t>バヒツ</t>
    </rPh>
    <rPh sb="2" eb="3">
      <t>メイ</t>
    </rPh>
    <phoneticPr fontId="4"/>
  </si>
  <si>
    <t>料金</t>
    <rPh sb="0" eb="2">
      <t>リョウキン</t>
    </rPh>
    <phoneticPr fontId="4"/>
  </si>
  <si>
    <t>所属</t>
    <rPh sb="0" eb="2">
      <t>ショゾク</t>
    </rPh>
    <phoneticPr fontId="4"/>
  </si>
  <si>
    <t>JBGキャロット選手権(馬場)</t>
    <rPh sb="12" eb="14">
      <t>ババ</t>
    </rPh>
    <phoneticPr fontId="2"/>
  </si>
  <si>
    <t>〒</t>
    <phoneticPr fontId="4"/>
  </si>
  <si>
    <t>担当者氏名</t>
    <rPh sb="3" eb="4">
      <t>シ</t>
    </rPh>
    <rPh sb="4" eb="5">
      <t>メイ</t>
    </rPh>
    <phoneticPr fontId="3"/>
  </si>
  <si>
    <t>携帯電話番号</t>
    <rPh sb="0" eb="2">
      <t>ケイタイ</t>
    </rPh>
    <rPh sb="2" eb="4">
      <t>デンワ</t>
    </rPh>
    <rPh sb="4" eb="6">
      <t>バンゴウ</t>
    </rPh>
    <phoneticPr fontId="3"/>
  </si>
  <si>
    <t>携帯メール(任意)</t>
    <rPh sb="0" eb="2">
      <t>ケイタイ</t>
    </rPh>
    <rPh sb="6" eb="8">
      <t>ニンイ</t>
    </rPh>
    <phoneticPr fontId="3"/>
  </si>
  <si>
    <t>メールアドレス
(複数可)</t>
    <rPh sb="9" eb="11">
      <t>フクスウ</t>
    </rPh>
    <rPh sb="11" eb="12">
      <t>カ</t>
    </rPh>
    <phoneticPr fontId="4"/>
  </si>
  <si>
    <t>出場料</t>
    <rPh sb="0" eb="2">
      <t>シュツジョウ</t>
    </rPh>
    <rPh sb="2" eb="3">
      <t>リョウ</t>
    </rPh>
    <phoneticPr fontId="4"/>
  </si>
  <si>
    <t>総額</t>
    <rPh sb="0" eb="2">
      <t>ソウガク</t>
    </rPh>
    <phoneticPr fontId="4"/>
  </si>
  <si>
    <t>(出場数)</t>
    <rPh sb="1" eb="3">
      <t>シュツジョウ</t>
    </rPh>
    <rPh sb="3" eb="4">
      <t>スウ</t>
    </rPh>
    <phoneticPr fontId="4"/>
  </si>
  <si>
    <t>選手
番号</t>
    <rPh sb="0" eb="2">
      <t>センシュ</t>
    </rPh>
    <rPh sb="3" eb="5">
      <t>バンゴウ</t>
    </rPh>
    <phoneticPr fontId="4"/>
  </si>
  <si>
    <t>馬匹
番号</t>
    <rPh sb="0" eb="2">
      <t>バヒツ</t>
    </rPh>
    <rPh sb="3" eb="5">
      <t>バンゴウ</t>
    </rPh>
    <phoneticPr fontId="4"/>
  </si>
  <si>
    <t>(エントリ数)</t>
    <rPh sb="5" eb="6">
      <t>スウ</t>
    </rPh>
    <phoneticPr fontId="4"/>
  </si>
  <si>
    <r>
      <t xml:space="preserve">所属
</t>
    </r>
    <r>
      <rPr>
        <sz val="9"/>
        <color theme="1"/>
        <rFont val="游ゴシック"/>
        <family val="3"/>
        <charset val="128"/>
        <scheme val="minor"/>
      </rPr>
      <t>(団体名・社馬連団体名)</t>
    </r>
    <rPh sb="0" eb="2">
      <t>ショゾク</t>
    </rPh>
    <rPh sb="4" eb="6">
      <t>ダンタイ</t>
    </rPh>
    <rPh sb="6" eb="7">
      <t>メイ</t>
    </rPh>
    <rPh sb="8" eb="11">
      <t>シャバレン</t>
    </rPh>
    <rPh sb="11" eb="13">
      <t>ダンタイ</t>
    </rPh>
    <rPh sb="13" eb="14">
      <t>メイ</t>
    </rPh>
    <phoneticPr fontId="4"/>
  </si>
  <si>
    <r>
      <t xml:space="preserve">日馬連登録番号
</t>
    </r>
    <r>
      <rPr>
        <sz val="9"/>
        <color theme="1"/>
        <rFont val="游ゴシック"/>
        <family val="3"/>
        <charset val="128"/>
        <scheme val="minor"/>
      </rPr>
      <t>(公認競技用)</t>
    </r>
    <rPh sb="0" eb="3">
      <t>ニチバレン</t>
    </rPh>
    <rPh sb="3" eb="5">
      <t>トウロク</t>
    </rPh>
    <rPh sb="5" eb="7">
      <t>バンゴウ</t>
    </rPh>
    <rPh sb="9" eb="11">
      <t>コウニン</t>
    </rPh>
    <rPh sb="11" eb="13">
      <t>キョウギ</t>
    </rPh>
    <rPh sb="13" eb="14">
      <t>ヨウ</t>
    </rPh>
    <phoneticPr fontId="4"/>
  </si>
  <si>
    <r>
      <t xml:space="preserve">日馬連登録番号
</t>
    </r>
    <r>
      <rPr>
        <sz val="9"/>
        <color theme="1"/>
        <rFont val="游ゴシック"/>
        <family val="3"/>
        <charset val="128"/>
        <scheme val="minor"/>
      </rPr>
      <t>(公認競技用)</t>
    </r>
    <rPh sb="0" eb="3">
      <t>ニチバレン</t>
    </rPh>
    <rPh sb="3" eb="5">
      <t>トウロク</t>
    </rPh>
    <rPh sb="5" eb="7">
      <t>バンゴウ</t>
    </rPh>
    <rPh sb="9" eb="11">
      <t>コウニン</t>
    </rPh>
    <rPh sb="11" eb="14">
      <t>キョウギヨウ</t>
    </rPh>
    <phoneticPr fontId="4"/>
  </si>
  <si>
    <t>社馬連加盟団体</t>
    <rPh sb="0" eb="3">
      <t>シャバレン</t>
    </rPh>
    <rPh sb="3" eb="5">
      <t>カメイ</t>
    </rPh>
    <rPh sb="5" eb="7">
      <t>ダンタイ</t>
    </rPh>
    <phoneticPr fontId="4"/>
  </si>
  <si>
    <t>プロ・インストラクタ</t>
    <phoneticPr fontId="4"/>
  </si>
  <si>
    <t>ジュニア(高校生以下)</t>
    <rPh sb="5" eb="8">
      <t>コウコウセイ</t>
    </rPh>
    <rPh sb="8" eb="10">
      <t>イカ</t>
    </rPh>
    <phoneticPr fontId="4"/>
  </si>
  <si>
    <t>チルドレン(中学生以下)</t>
    <rPh sb="6" eb="9">
      <t>チュウガクセイ</t>
    </rPh>
    <rPh sb="9" eb="11">
      <t>イカ</t>
    </rPh>
    <phoneticPr fontId="4"/>
  </si>
  <si>
    <t>選手区分</t>
    <rPh sb="0" eb="2">
      <t>センシュ</t>
    </rPh>
    <rPh sb="2" eb="4">
      <t>クブン</t>
    </rPh>
    <phoneticPr fontId="4"/>
  </si>
  <si>
    <t>エントリ区分</t>
    <rPh sb="4" eb="6">
      <t>クブン</t>
    </rPh>
    <phoneticPr fontId="4"/>
  </si>
  <si>
    <t>利用日</t>
    <rPh sb="0" eb="2">
      <t>リヨウ</t>
    </rPh>
    <rPh sb="2" eb="3">
      <t>ビ</t>
    </rPh>
    <phoneticPr fontId="4"/>
  </si>
  <si>
    <t>10月12日(土)</t>
    <rPh sb="2" eb="3">
      <t>ガツ</t>
    </rPh>
    <rPh sb="5" eb="6">
      <t>ニチ</t>
    </rPh>
    <rPh sb="7" eb="8">
      <t>ド</t>
    </rPh>
    <phoneticPr fontId="4"/>
  </si>
  <si>
    <t>年齢</t>
    <rPh sb="0" eb="2">
      <t>ネンレイ</t>
    </rPh>
    <phoneticPr fontId="4"/>
  </si>
  <si>
    <t>性別</t>
    <rPh sb="0" eb="2">
      <t>セイベツ</t>
    </rPh>
    <phoneticPr fontId="4"/>
  </si>
  <si>
    <t>氏名</t>
    <rPh sb="0" eb="2">
      <t>シメイ</t>
    </rPh>
    <phoneticPr fontId="4"/>
  </si>
  <si>
    <t>携帯番号</t>
    <rPh sb="0" eb="2">
      <t>ケイタイ</t>
    </rPh>
    <rPh sb="2" eb="4">
      <t>バンゴウ</t>
    </rPh>
    <phoneticPr fontId="4"/>
  </si>
  <si>
    <t>宿泊者</t>
    <rPh sb="0" eb="3">
      <t>シュクハクシャ</t>
    </rPh>
    <phoneticPr fontId="4"/>
  </si>
  <si>
    <t xml:space="preserve">   月     日</t>
    <rPh sb="3" eb="4">
      <t>ガツ</t>
    </rPh>
    <rPh sb="9" eb="10">
      <t>ニチ</t>
    </rPh>
    <phoneticPr fontId="4"/>
  </si>
  <si>
    <t xml:space="preserve">  月     日</t>
    <rPh sb="2" eb="3">
      <t>ガツ</t>
    </rPh>
    <rPh sb="8" eb="9">
      <t>ニチ</t>
    </rPh>
    <phoneticPr fontId="4"/>
  </si>
  <si>
    <t>宿泊者数</t>
    <rPh sb="0" eb="3">
      <t>シュクハクシャ</t>
    </rPh>
    <rPh sb="3" eb="4">
      <t>スウ</t>
    </rPh>
    <phoneticPr fontId="4"/>
  </si>
  <si>
    <t>宿泊数</t>
    <rPh sb="0" eb="2">
      <t>シュクハク</t>
    </rPh>
    <rPh sb="2" eb="3">
      <t>スウ</t>
    </rPh>
    <phoneticPr fontId="4"/>
  </si>
  <si>
    <t>(競技エントリー)</t>
    <phoneticPr fontId="4"/>
  </si>
  <si>
    <t>ホースマネージャー棟 宿泊申し込み</t>
    <phoneticPr fontId="4"/>
  </si>
  <si>
    <t>(1) 競技場内の宿泊施設ですので、各自の責任においてご利用ください。</t>
  </si>
  <si>
    <t>(2) 寝具は各自でご用意してください。</t>
  </si>
  <si>
    <t>(4) 申込人数によっては相部屋となりますのでご了承ください。</t>
  </si>
  <si>
    <t>(5) 原則として参加団体各１名の利用とさせていただきます。</t>
  </si>
  <si>
    <t>(6) 室内は火気厳禁とします。煙草は喫煙所にてお願い致します。</t>
  </si>
  <si>
    <t>(7) 退室の際は清掃をし、窓の戸締り、電気消灯をお願い致します。</t>
  </si>
  <si>
    <t>注意事項</t>
    <rPh sb="0" eb="2">
      <t>チュウイ</t>
    </rPh>
    <rPh sb="2" eb="4">
      <t>ジコウ</t>
    </rPh>
    <phoneticPr fontId="4"/>
  </si>
  <si>
    <t>１．締　切</t>
  </si>
  <si>
    <t xml:space="preserve">２．宿泊料 </t>
  </si>
  <si>
    <t>(3) ホースマネージャー棟は20名まで宿泊可能です。定員になり次第、</t>
    <phoneticPr fontId="4"/>
  </si>
  <si>
    <t xml:space="preserve">      締切り致します。(2人部屋×6室・4人部屋×2室)</t>
    <phoneticPr fontId="4"/>
  </si>
  <si>
    <t>当日、大会本部にて支払うこと(鍵をお渡し致します)。</t>
    <rPh sb="3" eb="5">
      <t>タイカイ</t>
    </rPh>
    <phoneticPr fontId="4"/>
  </si>
  <si>
    <t>(8) 退室後、カギを大会本部へ返却すること。</t>
    <rPh sb="4" eb="6">
      <t>タイシツ</t>
    </rPh>
    <rPh sb="6" eb="7">
      <t>ゴ</t>
    </rPh>
    <rPh sb="11" eb="13">
      <t>タイカイ</t>
    </rPh>
    <rPh sb="13" eb="15">
      <t>ホンブ</t>
    </rPh>
    <rPh sb="16" eb="18">
      <t>ヘンキャク</t>
    </rPh>
    <phoneticPr fontId="4"/>
  </si>
  <si>
    <t>(株)魚国総本社馬術部</t>
  </si>
  <si>
    <t>警視庁乗馬同好会</t>
  </si>
  <si>
    <t>皇宮警察本部</t>
  </si>
  <si>
    <t>社会人昭和大学ライディングチーム</t>
  </si>
  <si>
    <t>衆議院乗馬会</t>
  </si>
  <si>
    <t>SOMPOホールディングス馬術部</t>
  </si>
  <si>
    <t>東京都庁体育会乗馬部</t>
  </si>
  <si>
    <t>特別区文化体育会乗馬部</t>
  </si>
  <si>
    <t>トッパン・フォームズ(株)馬術部</t>
  </si>
  <si>
    <t>日本アイ・ビー・エム(株)馬術部</t>
  </si>
  <si>
    <t>(株)日本馬事普及馬事研究部</t>
  </si>
  <si>
    <t>パナソニック馬術部</t>
  </si>
  <si>
    <t>(株)日立国際電気馬術部</t>
  </si>
  <si>
    <t>富士通(株)馬術部</t>
  </si>
  <si>
    <t>防衛省乗馬同好会</t>
  </si>
  <si>
    <t>三井物産(株)乗馬部</t>
  </si>
  <si>
    <t>レッキス工業(株)馬術部</t>
  </si>
  <si>
    <t>青波馬術愛好会</t>
    <rPh sb="0" eb="1">
      <t>アオ</t>
    </rPh>
    <rPh sb="1" eb="2">
      <t>ナミ</t>
    </rPh>
    <rPh sb="2" eb="4">
      <t>バジュツ</t>
    </rPh>
    <rPh sb="4" eb="7">
      <t>アイコウカイ</t>
    </rPh>
    <phoneticPr fontId="1"/>
  </si>
  <si>
    <t>伊藤忠商事相互会乗馬部</t>
  </si>
  <si>
    <t>茨城県庁乗馬部</t>
  </si>
  <si>
    <t>エグゼクティブコーチ(株)馬術部</t>
  </si>
  <si>
    <t>NTT馬術部</t>
  </si>
  <si>
    <t>グーグル合同会社馬術部</t>
  </si>
  <si>
    <t>スリーエムジャパン馬術愛好会</t>
  </si>
  <si>
    <t>セゾングループ乗馬部</t>
  </si>
  <si>
    <t>ソニー馬術部</t>
  </si>
  <si>
    <t>ＴＭＧ 乗馬同好会</t>
  </si>
  <si>
    <t>税理士法人山田＆パートナーズ乗馬同好会</t>
  </si>
  <si>
    <t>(株)ワールドマーケット乗馬部</t>
  </si>
  <si>
    <t>YS乗馬同好会</t>
  </si>
  <si>
    <t>パナソニックシステムネットワークス(株)馬術部</t>
    <rPh sb="18" eb="19">
      <t>カブ</t>
    </rPh>
    <phoneticPr fontId="1"/>
  </si>
  <si>
    <t>(株)三菱総合研究所馬術部</t>
    <rPh sb="0" eb="3">
      <t>カブ</t>
    </rPh>
    <rPh sb="3" eb="5">
      <t>ミツビシ</t>
    </rPh>
    <rPh sb="10" eb="12">
      <t>バジュツ</t>
    </rPh>
    <rPh sb="12" eb="13">
      <t>ブ</t>
    </rPh>
    <phoneticPr fontId="1"/>
  </si>
  <si>
    <t>団体区分</t>
    <rPh sb="0" eb="2">
      <t>ダンタイ</t>
    </rPh>
    <rPh sb="2" eb="4">
      <t>クブン</t>
    </rPh>
    <phoneticPr fontId="4"/>
  </si>
  <si>
    <t>団体番号</t>
    <rPh sb="0" eb="2">
      <t>ダンタイ</t>
    </rPh>
    <rPh sb="2" eb="4">
      <t>バンゴウ</t>
    </rPh>
    <phoneticPr fontId="4"/>
  </si>
  <si>
    <t xml:space="preserve">ジムカーナ競技 </t>
  </si>
  <si>
    <t xml:space="preserve">部班馬場馬術競技 (駈歩) </t>
  </si>
  <si>
    <t>学生</t>
    <rPh sb="0" eb="2">
      <t>ガクセイ</t>
    </rPh>
    <phoneticPr fontId="4"/>
  </si>
  <si>
    <r>
      <t xml:space="preserve">エントリー料
</t>
    </r>
    <r>
      <rPr>
        <sz val="8"/>
        <color theme="1"/>
        <rFont val="游ゴシック"/>
        <family val="3"/>
        <charset val="128"/>
        <scheme val="minor"/>
      </rPr>
      <t>(学生：大学生、高校生、中学生以下)</t>
    </r>
    <rPh sb="5" eb="6">
      <t>リョウ</t>
    </rPh>
    <rPh sb="8" eb="10">
      <t>ガクセイ</t>
    </rPh>
    <rPh sb="11" eb="14">
      <t>ダイガクセイ</t>
    </rPh>
    <rPh sb="15" eb="18">
      <t>コウコウセイ</t>
    </rPh>
    <rPh sb="19" eb="22">
      <t>チュウガクセイ</t>
    </rPh>
    <rPh sb="22" eb="24">
      <t>イカ</t>
    </rPh>
    <phoneticPr fontId="4"/>
  </si>
  <si>
    <t>中学生以下</t>
    <rPh sb="0" eb="5">
      <t>チュウガクセイイカ</t>
    </rPh>
    <phoneticPr fontId="4"/>
  </si>
  <si>
    <t>料金区分</t>
    <rPh sb="0" eb="2">
      <t>リョウキン</t>
    </rPh>
    <rPh sb="2" eb="4">
      <t>クブン</t>
    </rPh>
    <phoneticPr fontId="4"/>
  </si>
  <si>
    <t>学生</t>
    <rPh sb="0" eb="2">
      <t>ガクセイ</t>
    </rPh>
    <phoneticPr fontId="4"/>
  </si>
  <si>
    <t>オープン</t>
    <phoneticPr fontId="4"/>
  </si>
  <si>
    <t>フレンドシップ80</t>
  </si>
  <si>
    <t xml:space="preserve">ビギナーズジャンプ競技 </t>
  </si>
  <si>
    <t>提出日：</t>
    <rPh sb="0" eb="2">
      <t>テイシュツ</t>
    </rPh>
    <rPh sb="2" eb="3">
      <t>ビ</t>
    </rPh>
    <phoneticPr fontId="4"/>
  </si>
  <si>
    <t>L1、社馬連会員のみ</t>
    <rPh sb="3" eb="6">
      <t>シャバレン</t>
    </rPh>
    <rPh sb="6" eb="8">
      <t>カイイン</t>
    </rPh>
    <phoneticPr fontId="4"/>
  </si>
  <si>
    <t>100cm、社馬連会員のみ</t>
    <rPh sb="6" eb="11">
      <t>シャバレンカイイン</t>
    </rPh>
    <phoneticPr fontId="4"/>
  </si>
  <si>
    <t>エントリー
区分</t>
    <rPh sb="6" eb="8">
      <t>クブン</t>
    </rPh>
    <phoneticPr fontId="4"/>
  </si>
  <si>
    <t>団体名</t>
    <rPh sb="0" eb="2">
      <t>ダンタイ</t>
    </rPh>
    <rPh sb="2" eb="3">
      <t>メイ</t>
    </rPh>
    <phoneticPr fontId="4"/>
  </si>
  <si>
    <t>フリガナ</t>
    <phoneticPr fontId="4"/>
  </si>
  <si>
    <t>追加1</t>
    <rPh sb="0" eb="2">
      <t>ツイカ</t>
    </rPh>
    <phoneticPr fontId="4"/>
  </si>
  <si>
    <t>追加2</t>
    <rPh sb="0" eb="2">
      <t>ツイカ</t>
    </rPh>
    <phoneticPr fontId="4"/>
  </si>
  <si>
    <t>追加3</t>
    <rPh sb="0" eb="2">
      <t>ツイカ</t>
    </rPh>
    <phoneticPr fontId="4"/>
  </si>
  <si>
    <t>提出日</t>
    <rPh sb="0" eb="2">
      <t>テイシュツ</t>
    </rPh>
    <rPh sb="2" eb="3">
      <t>ビ</t>
    </rPh>
    <phoneticPr fontId="4"/>
  </si>
  <si>
    <t>郵便</t>
    <rPh sb="0" eb="2">
      <t>ユウビン</t>
    </rPh>
    <phoneticPr fontId="4"/>
  </si>
  <si>
    <t>住所1</t>
    <rPh sb="0" eb="2">
      <t>ジュウショ</t>
    </rPh>
    <phoneticPr fontId="4"/>
  </si>
  <si>
    <t>住所2</t>
    <rPh sb="0" eb="2">
      <t>ジュウショ</t>
    </rPh>
    <phoneticPr fontId="4"/>
  </si>
  <si>
    <t>電話</t>
    <rPh sb="0" eb="2">
      <t>デンワ</t>
    </rPh>
    <phoneticPr fontId="4"/>
  </si>
  <si>
    <t>責任者</t>
    <rPh sb="0" eb="3">
      <t>セキニンシャ</t>
    </rPh>
    <phoneticPr fontId="4"/>
  </si>
  <si>
    <t>メール1</t>
    <phoneticPr fontId="4"/>
  </si>
  <si>
    <t>メール2</t>
    <phoneticPr fontId="4"/>
  </si>
  <si>
    <t>メール3</t>
    <phoneticPr fontId="4"/>
  </si>
  <si>
    <t>当日1</t>
    <rPh sb="0" eb="2">
      <t>トウジツ</t>
    </rPh>
    <phoneticPr fontId="4"/>
  </si>
  <si>
    <t>当日2</t>
    <rPh sb="0" eb="2">
      <t>トウジツ</t>
    </rPh>
    <phoneticPr fontId="4"/>
  </si>
  <si>
    <t>当日3</t>
    <rPh sb="0" eb="2">
      <t>トウジツ</t>
    </rPh>
    <phoneticPr fontId="4"/>
  </si>
  <si>
    <t>番号</t>
    <rPh sb="0" eb="2">
      <t>バンゴウ</t>
    </rPh>
    <phoneticPr fontId="4"/>
  </si>
  <si>
    <t>姓</t>
    <rPh sb="0" eb="1">
      <t>セイ</t>
    </rPh>
    <phoneticPr fontId="4"/>
  </si>
  <si>
    <t>名</t>
    <rPh sb="0" eb="1">
      <t>メイ</t>
    </rPh>
    <phoneticPr fontId="4"/>
  </si>
  <si>
    <t>セイ</t>
    <phoneticPr fontId="4"/>
  </si>
  <si>
    <t>メイ</t>
    <phoneticPr fontId="4"/>
  </si>
  <si>
    <t>区分</t>
    <rPh sb="0" eb="2">
      <t>クブン</t>
    </rPh>
    <phoneticPr fontId="4"/>
  </si>
  <si>
    <t>保険</t>
    <rPh sb="0" eb="2">
      <t>ホケン</t>
    </rPh>
    <phoneticPr fontId="4"/>
  </si>
  <si>
    <t>団体区分</t>
    <rPh sb="0" eb="2">
      <t>ダンタイ</t>
    </rPh>
    <rPh sb="2" eb="4">
      <t>クブン</t>
    </rPh>
    <phoneticPr fontId="4"/>
  </si>
  <si>
    <t>団体番号</t>
    <rPh sb="0" eb="2">
      <t>ダンタイ</t>
    </rPh>
    <rPh sb="2" eb="4">
      <t>バンゴウ</t>
    </rPh>
    <phoneticPr fontId="4"/>
  </si>
  <si>
    <t>日馬連</t>
    <rPh sb="0" eb="3">
      <t>ニチバレン</t>
    </rPh>
    <phoneticPr fontId="4"/>
  </si>
  <si>
    <t>選手区分</t>
    <rPh sb="0" eb="2">
      <t>センシュ</t>
    </rPh>
    <rPh sb="2" eb="4">
      <t>クブン</t>
    </rPh>
    <phoneticPr fontId="4"/>
  </si>
  <si>
    <t>集計用</t>
    <rPh sb="0" eb="3">
      <t>シュウケイヨウ</t>
    </rPh>
    <phoneticPr fontId="4"/>
  </si>
  <si>
    <t>馬名</t>
    <rPh sb="0" eb="2">
      <t>バメイ</t>
    </rPh>
    <phoneticPr fontId="4"/>
  </si>
  <si>
    <t>カナ</t>
    <phoneticPr fontId="4"/>
  </si>
  <si>
    <t>種目</t>
    <rPh sb="0" eb="2">
      <t>シュモク</t>
    </rPh>
    <phoneticPr fontId="4"/>
  </si>
  <si>
    <t>選手</t>
    <rPh sb="0" eb="2">
      <t>センシュ</t>
    </rPh>
    <phoneticPr fontId="4"/>
  </si>
  <si>
    <t>馬</t>
    <rPh sb="0" eb="1">
      <t>ウマ</t>
    </rPh>
    <phoneticPr fontId="4"/>
  </si>
  <si>
    <t>料金</t>
    <rPh sb="0" eb="2">
      <t>リョウキン</t>
    </rPh>
    <phoneticPr fontId="4"/>
  </si>
  <si>
    <t>御殿場市馬術・スポーツセンター入厩届出書</t>
  </si>
  <si>
    <t>毛色</t>
    <rPh sb="0" eb="2">
      <t>ケイロ</t>
    </rPh>
    <phoneticPr fontId="4"/>
  </si>
  <si>
    <t>種類</t>
    <rPh sb="0" eb="2">
      <t>シュルイ</t>
    </rPh>
    <phoneticPr fontId="4"/>
  </si>
  <si>
    <t>産地</t>
    <rPh sb="0" eb="2">
      <t>サンチ</t>
    </rPh>
    <phoneticPr fontId="4"/>
  </si>
  <si>
    <t>最終伝貧
検査日</t>
    <rPh sb="0" eb="2">
      <t>サイシュウ</t>
    </rPh>
    <rPh sb="2" eb="3">
      <t>デン</t>
    </rPh>
    <rPh sb="3" eb="4">
      <t>ピン</t>
    </rPh>
    <rPh sb="5" eb="8">
      <t>ケンサビ</t>
    </rPh>
    <phoneticPr fontId="4"/>
  </si>
  <si>
    <t>日本脳炎予防
ワクチン接種日</t>
    <rPh sb="0" eb="2">
      <t>ニホン</t>
    </rPh>
    <rPh sb="2" eb="4">
      <t>ノウエン</t>
    </rPh>
    <rPh sb="4" eb="6">
      <t>ヨボウ</t>
    </rPh>
    <rPh sb="11" eb="13">
      <t>セッシュ</t>
    </rPh>
    <rPh sb="13" eb="14">
      <t>ビ</t>
    </rPh>
    <phoneticPr fontId="4"/>
  </si>
  <si>
    <t>基礎・補強終了後のすべてのインフルエンザ予防接種暦</t>
    <phoneticPr fontId="4"/>
  </si>
  <si>
    <t>入厩日</t>
    <rPh sb="0" eb="3">
      <t>ニュウキュウビ</t>
    </rPh>
    <phoneticPr fontId="4"/>
  </si>
  <si>
    <t>AM・PM</t>
    <phoneticPr fontId="4"/>
  </si>
  <si>
    <t>時</t>
    <rPh sb="0" eb="1">
      <t>ジ</t>
    </rPh>
    <phoneticPr fontId="4"/>
  </si>
  <si>
    <t>退厩日</t>
    <rPh sb="0" eb="2">
      <t>タイキュウ</t>
    </rPh>
    <rPh sb="2" eb="3">
      <t>ヒ</t>
    </rPh>
    <phoneticPr fontId="4"/>
  </si>
  <si>
    <t>御殿場市馬術・スポーツセンター利用につき、上記のとおりお届けします。</t>
  </si>
  <si>
    <t>住所</t>
    <rPh sb="0" eb="2">
      <t>ジュウショ</t>
    </rPh>
    <phoneticPr fontId="4"/>
  </si>
  <si>
    <t>TEL</t>
    <phoneticPr fontId="4"/>
  </si>
  <si>
    <t>FAX</t>
    <phoneticPr fontId="4"/>
  </si>
  <si>
    <t>印</t>
    <rPh sb="0" eb="1">
      <t>イン</t>
    </rPh>
    <phoneticPr fontId="4"/>
  </si>
  <si>
    <t>日</t>
    <rPh sb="0" eb="1">
      <t>ニチ</t>
    </rPh>
    <phoneticPr fontId="4"/>
  </si>
  <si>
    <t>10月</t>
    <rPh sb="2" eb="3">
      <t>ゲツ</t>
    </rPh>
    <phoneticPr fontId="4"/>
  </si>
  <si>
    <r>
      <t>選手名</t>
    </r>
    <r>
      <rPr>
        <sz val="9"/>
        <color theme="1"/>
        <rFont val="游ゴシック"/>
        <family val="3"/>
        <charset val="128"/>
        <scheme val="minor"/>
      </rPr>
      <t>(*1)</t>
    </r>
    <rPh sb="0" eb="3">
      <t>センシュメイ</t>
    </rPh>
    <phoneticPr fontId="4"/>
  </si>
  <si>
    <t>*1 同姓同名の選手がいる場合は、名前の後ろにA,Bを付けるなどして、区別できるように記入してください。</t>
    <rPh sb="3" eb="5">
      <t>ドウセイ</t>
    </rPh>
    <rPh sb="5" eb="7">
      <t>ドウメイ</t>
    </rPh>
    <rPh sb="8" eb="10">
      <t>センシュ</t>
    </rPh>
    <rPh sb="13" eb="15">
      <t>バアイ</t>
    </rPh>
    <rPh sb="17" eb="19">
      <t>ナマエ</t>
    </rPh>
    <rPh sb="20" eb="21">
      <t>ウシ</t>
    </rPh>
    <rPh sb="27" eb="28">
      <t>ツ</t>
    </rPh>
    <rPh sb="35" eb="37">
      <t>クベツ</t>
    </rPh>
    <rPh sb="43" eb="45">
      <t>キニュウ</t>
    </rPh>
    <phoneticPr fontId="4"/>
  </si>
  <si>
    <t>社馬連</t>
    <rPh sb="0" eb="3">
      <t>シャバレン</t>
    </rPh>
    <phoneticPr fontId="4"/>
  </si>
  <si>
    <t>Key</t>
    <phoneticPr fontId="4"/>
  </si>
  <si>
    <t>重複</t>
    <rPh sb="0" eb="2">
      <t>チョウフク</t>
    </rPh>
    <phoneticPr fontId="4"/>
  </si>
  <si>
    <t>確認メッセージ</t>
    <rPh sb="0" eb="2">
      <t>カクニン</t>
    </rPh>
    <phoneticPr fontId="4"/>
  </si>
  <si>
    <t xml:space="preserve"> </t>
    <phoneticPr fontId="4"/>
  </si>
  <si>
    <t>提出日：</t>
    <rPh sb="0" eb="2">
      <t>テイシュツ</t>
    </rPh>
    <rPh sb="2" eb="3">
      <t>ビ</t>
    </rPh>
    <phoneticPr fontId="4"/>
  </si>
  <si>
    <t>競技
番号</t>
    <rPh sb="0" eb="2">
      <t>キョウギ</t>
    </rPh>
    <rPh sb="3" eb="5">
      <t>バンゴウ</t>
    </rPh>
    <phoneticPr fontId="4"/>
  </si>
  <si>
    <t>種目
番号</t>
    <rPh sb="0" eb="2">
      <t>シュモク</t>
    </rPh>
    <rPh sb="3" eb="5">
      <t>バンゴウ</t>
    </rPh>
    <phoneticPr fontId="4"/>
  </si>
  <si>
    <t>競技名</t>
    <rPh sb="0" eb="2">
      <t>キョウギ</t>
    </rPh>
    <rPh sb="2" eb="3">
      <t>メイ</t>
    </rPh>
    <phoneticPr fontId="4"/>
  </si>
  <si>
    <t>班</t>
    <rPh sb="0" eb="1">
      <t>ハン</t>
    </rPh>
    <phoneticPr fontId="4"/>
  </si>
  <si>
    <t>一般</t>
    <rPh sb="0" eb="2">
      <t>イッパン</t>
    </rPh>
    <phoneticPr fontId="4"/>
  </si>
  <si>
    <t>学生</t>
    <rPh sb="0" eb="2">
      <t>ガクセイ</t>
    </rPh>
    <phoneticPr fontId="4"/>
  </si>
  <si>
    <t>オープン</t>
    <phoneticPr fontId="4"/>
  </si>
  <si>
    <t>A</t>
  </si>
  <si>
    <t>B</t>
  </si>
  <si>
    <t>公
認</t>
    <rPh sb="0" eb="1">
      <t>コウ</t>
    </rPh>
    <rPh sb="2" eb="3">
      <t>ニン</t>
    </rPh>
    <phoneticPr fontId="4"/>
  </si>
  <si>
    <t>O
p</t>
    <phoneticPr fontId="4"/>
  </si>
  <si>
    <t>フレンドシップ100</t>
  </si>
  <si>
    <t>小障害60cmクラス</t>
  </si>
  <si>
    <t>小障害70cmクラス</t>
  </si>
  <si>
    <t>小障害80cmクラス</t>
  </si>
  <si>
    <t>小障害90cmクラス</t>
  </si>
  <si>
    <t>小障害100cmクラス</t>
  </si>
  <si>
    <t>中障害D 110cmクラス</t>
  </si>
  <si>
    <t>中障害C 120cmクラス</t>
  </si>
  <si>
    <t>A3課目馬場馬術競技</t>
  </si>
  <si>
    <t>L1課目馬場馬術競技</t>
  </si>
  <si>
    <t>JBG キャロット選手権(障害)</t>
  </si>
  <si>
    <t>A1課目馬場馬術競技</t>
  </si>
  <si>
    <t>L2課目馬場馬術競技</t>
  </si>
  <si>
    <t>マスターデータ</t>
    <phoneticPr fontId="4"/>
  </si>
  <si>
    <t>馬匹追加</t>
  </si>
  <si>
    <t>選手追加</t>
  </si>
  <si>
    <t>変更料</t>
    <rPh sb="0" eb="2">
      <t>ヘンコウ</t>
    </rPh>
    <rPh sb="2" eb="3">
      <t>リョウ</t>
    </rPh>
    <phoneticPr fontId="4"/>
  </si>
  <si>
    <t>-</t>
    <phoneticPr fontId="4"/>
  </si>
  <si>
    <t>エントリ
区分</t>
    <rPh sb="5" eb="7">
      <t>クブン</t>
    </rPh>
    <phoneticPr fontId="4"/>
  </si>
  <si>
    <t>馬匹削除</t>
  </si>
  <si>
    <t>変更項目</t>
    <rPh sb="0" eb="2">
      <t>ヘンコウ</t>
    </rPh>
    <rPh sb="2" eb="4">
      <t>コウモク</t>
    </rPh>
    <phoneticPr fontId="4"/>
  </si>
  <si>
    <t>エントリ
削除</t>
    <phoneticPr fontId="4"/>
  </si>
  <si>
    <t>エントリ
変更</t>
    <phoneticPr fontId="4"/>
  </si>
  <si>
    <t>エントリ
追加</t>
    <phoneticPr fontId="4"/>
  </si>
  <si>
    <t>エントリ変更項目</t>
    <rPh sb="4" eb="6">
      <t>ヘンコウ</t>
    </rPh>
    <rPh sb="6" eb="8">
      <t>コウモク</t>
    </rPh>
    <phoneticPr fontId="4"/>
  </si>
  <si>
    <t>※3 エントリー締め切り後の変更で、エントリー総額を下回った場合でも、エントリー総額の減額・返金は行いません。</t>
    <rPh sb="8" eb="9">
      <t>シ</t>
    </rPh>
    <rPh sb="10" eb="11">
      <t>キ</t>
    </rPh>
    <rPh sb="12" eb="13">
      <t>ゴ</t>
    </rPh>
    <rPh sb="14" eb="16">
      <t>ヘンコウ</t>
    </rPh>
    <rPh sb="23" eb="25">
      <t>ソウガク</t>
    </rPh>
    <rPh sb="26" eb="28">
      <t>シタマワ</t>
    </rPh>
    <rPh sb="30" eb="32">
      <t>バアイ</t>
    </rPh>
    <rPh sb="40" eb="42">
      <t>ソウガク</t>
    </rPh>
    <rPh sb="43" eb="45">
      <t>ゲンガク</t>
    </rPh>
    <rPh sb="46" eb="48">
      <t>ヘンキン</t>
    </rPh>
    <rPh sb="49" eb="50">
      <t>オコナ</t>
    </rPh>
    <phoneticPr fontId="4"/>
  </si>
  <si>
    <t>※4 エントリー締め切り後の変更で、エントリー総額を上回った場合、差額の入金確認をもって、エントリー変更確定とします。</t>
    <rPh sb="26" eb="28">
      <t>ウワマワ</t>
    </rPh>
    <rPh sb="30" eb="32">
      <t>バアイ</t>
    </rPh>
    <rPh sb="33" eb="35">
      <t>サガク</t>
    </rPh>
    <rPh sb="36" eb="38">
      <t>ニュウキン</t>
    </rPh>
    <rPh sb="38" eb="40">
      <t>カクニン</t>
    </rPh>
    <rPh sb="50" eb="52">
      <t>ヘンコウ</t>
    </rPh>
    <rPh sb="52" eb="54">
      <t>カクテイ</t>
    </rPh>
    <phoneticPr fontId="4"/>
  </si>
  <si>
    <t>エントリ
有り番号</t>
    <rPh sb="5" eb="6">
      <t>ア</t>
    </rPh>
    <rPh sb="7" eb="9">
      <t>バンゴウ</t>
    </rPh>
    <phoneticPr fontId="4"/>
  </si>
  <si>
    <t>項目</t>
    <rPh sb="0" eb="2">
      <t>コウモク</t>
    </rPh>
    <phoneticPr fontId="4"/>
  </si>
  <si>
    <t>エン
トリ
番号</t>
    <rPh sb="6" eb="8">
      <t>バンゴウ</t>
    </rPh>
    <phoneticPr fontId="4"/>
  </si>
  <si>
    <t>※1 エントリー締め切り時点で社馬連が受領済みのエントリーをもって、締め切り時点のエントリー・エントリー総額とします。</t>
    <rPh sb="8" eb="9">
      <t>シ</t>
    </rPh>
    <rPh sb="10" eb="11">
      <t>キ</t>
    </rPh>
    <rPh sb="12" eb="14">
      <t>ジテン</t>
    </rPh>
    <rPh sb="15" eb="18">
      <t>シャバレン</t>
    </rPh>
    <rPh sb="19" eb="21">
      <t>ジュリョウ</t>
    </rPh>
    <rPh sb="21" eb="22">
      <t>ズ</t>
    </rPh>
    <rPh sb="34" eb="35">
      <t>シ</t>
    </rPh>
    <rPh sb="36" eb="37">
      <t>キ</t>
    </rPh>
    <rPh sb="38" eb="40">
      <t>ジテン</t>
    </rPh>
    <rPh sb="52" eb="54">
      <t>ソウガク</t>
    </rPh>
    <phoneticPr fontId="4"/>
  </si>
  <si>
    <t>通信欄</t>
    <rPh sb="0" eb="3">
      <t>ツウシンラン</t>
    </rPh>
    <phoneticPr fontId="4"/>
  </si>
  <si>
    <t>-</t>
    <phoneticPr fontId="4"/>
  </si>
  <si>
    <t>エントリー!$O$6:$O$85</t>
    <phoneticPr fontId="4"/>
  </si>
  <si>
    <t>リスト!$H$2:$H$5</t>
    <phoneticPr fontId="4"/>
  </si>
  <si>
    <t>競技一覧</t>
    <rPh sb="0" eb="2">
      <t>キョウギ</t>
    </rPh>
    <rPh sb="2" eb="4">
      <t>イチラン</t>
    </rPh>
    <phoneticPr fontId="4"/>
  </si>
  <si>
    <t>選手一覧</t>
    <rPh sb="0" eb="2">
      <t>センシュ</t>
    </rPh>
    <rPh sb="2" eb="4">
      <t>イチラン</t>
    </rPh>
    <phoneticPr fontId="4"/>
  </si>
  <si>
    <t>馬匹一覧</t>
    <rPh sb="0" eb="2">
      <t>バヒツ</t>
    </rPh>
    <rPh sb="2" eb="4">
      <t>イチラン</t>
    </rPh>
    <phoneticPr fontId="4"/>
  </si>
  <si>
    <t>エントリー番号一覧</t>
    <rPh sb="5" eb="7">
      <t>バンゴウ</t>
    </rPh>
    <rPh sb="7" eb="9">
      <t>イチラン</t>
    </rPh>
    <phoneticPr fontId="4"/>
  </si>
  <si>
    <t>料金区分</t>
    <rPh sb="0" eb="2">
      <t>リョウキン</t>
    </rPh>
    <rPh sb="2" eb="4">
      <t>クブン</t>
    </rPh>
    <phoneticPr fontId="4"/>
  </si>
  <si>
    <t>競技名</t>
    <rPh sb="0" eb="2">
      <t>キョウギ</t>
    </rPh>
    <rPh sb="2" eb="3">
      <t>メイ</t>
    </rPh>
    <phoneticPr fontId="4"/>
  </si>
  <si>
    <t>競技名
参照</t>
    <rPh sb="0" eb="2">
      <t>キョウギ</t>
    </rPh>
    <rPh sb="2" eb="3">
      <t>メイ</t>
    </rPh>
    <rPh sb="4" eb="6">
      <t>サンショウ</t>
    </rPh>
    <phoneticPr fontId="4"/>
  </si>
  <si>
    <t>選手名
参照</t>
    <rPh sb="0" eb="3">
      <t>センシュメイ</t>
    </rPh>
    <rPh sb="4" eb="6">
      <t>サンショウ</t>
    </rPh>
    <phoneticPr fontId="4"/>
  </si>
  <si>
    <t>選手名</t>
    <rPh sb="0" eb="3">
      <t>センシュメイ</t>
    </rPh>
    <phoneticPr fontId="4"/>
  </si>
  <si>
    <t>選手名
(登録済み)</t>
    <rPh sb="0" eb="3">
      <t>センシュメイ</t>
    </rPh>
    <rPh sb="5" eb="7">
      <t>トウロク</t>
    </rPh>
    <rPh sb="7" eb="8">
      <t>ズ</t>
    </rPh>
    <phoneticPr fontId="4"/>
  </si>
  <si>
    <t>選手名
(新規登録)</t>
    <rPh sb="0" eb="3">
      <t>センシュメイ</t>
    </rPh>
    <rPh sb="5" eb="7">
      <t>シンキ</t>
    </rPh>
    <rPh sb="7" eb="9">
      <t>トウロク</t>
    </rPh>
    <phoneticPr fontId="4"/>
  </si>
  <si>
    <t>エントリ
番号参照</t>
    <rPh sb="5" eb="7">
      <t>バンゴウ</t>
    </rPh>
    <rPh sb="7" eb="8">
      <t>ショウ</t>
    </rPh>
    <phoneticPr fontId="4"/>
  </si>
  <si>
    <t>選手区分
参照</t>
    <rPh sb="0" eb="2">
      <t>センシュ</t>
    </rPh>
    <rPh sb="2" eb="4">
      <t>クブン</t>
    </rPh>
    <rPh sb="5" eb="7">
      <t>サンショウ</t>
    </rPh>
    <phoneticPr fontId="4"/>
  </si>
  <si>
    <t>団体
参照</t>
    <rPh sb="0" eb="2">
      <t>ダンタイ</t>
    </rPh>
    <rPh sb="3" eb="5">
      <t>サンショウ</t>
    </rPh>
    <phoneticPr fontId="4"/>
  </si>
  <si>
    <t>選手区分</t>
    <rPh sb="0" eb="2">
      <t>センシュ</t>
    </rPh>
    <rPh sb="2" eb="4">
      <t>クブン</t>
    </rPh>
    <phoneticPr fontId="4"/>
  </si>
  <si>
    <t>リスト!$B$2:$B$7</t>
    <phoneticPr fontId="4"/>
  </si>
  <si>
    <t>団体</t>
    <rPh sb="0" eb="2">
      <t>ダンタイ</t>
    </rPh>
    <phoneticPr fontId="4"/>
  </si>
  <si>
    <t>馬匹
参照</t>
    <rPh sb="0" eb="2">
      <t>バヒツ</t>
    </rPh>
    <rPh sb="3" eb="5">
      <t>サンショウ</t>
    </rPh>
    <phoneticPr fontId="4"/>
  </si>
  <si>
    <t>馬匹</t>
    <rPh sb="0" eb="2">
      <t>バヒツ</t>
    </rPh>
    <phoneticPr fontId="4"/>
  </si>
  <si>
    <t>エントリ区分
参照</t>
    <rPh sb="4" eb="6">
      <t>クブン</t>
    </rPh>
    <rPh sb="7" eb="9">
      <t>サンショウ</t>
    </rPh>
    <phoneticPr fontId="4"/>
  </si>
  <si>
    <t>エントリ区分</t>
    <rPh sb="4" eb="6">
      <t>クブン</t>
    </rPh>
    <phoneticPr fontId="4"/>
  </si>
  <si>
    <t>団体一覧</t>
    <rPh sb="0" eb="2">
      <t>ダンタイ</t>
    </rPh>
    <rPh sb="2" eb="4">
      <t>イチラン</t>
    </rPh>
    <phoneticPr fontId="4"/>
  </si>
  <si>
    <t>リスト!$E$10:$E$49</t>
    <phoneticPr fontId="4"/>
  </si>
  <si>
    <t>追加選手</t>
    <rPh sb="0" eb="2">
      <t>ツイカ</t>
    </rPh>
    <rPh sb="2" eb="4">
      <t>センシュ</t>
    </rPh>
    <phoneticPr fontId="4"/>
  </si>
  <si>
    <t>種目
番号</t>
    <rPh sb="0" eb="2">
      <t>シュモク</t>
    </rPh>
    <rPh sb="3" eb="5">
      <t>バンゴウ</t>
    </rPh>
    <phoneticPr fontId="4"/>
  </si>
  <si>
    <t>変更金額合計</t>
    <rPh sb="0" eb="2">
      <t>ヘンコウ</t>
    </rPh>
    <rPh sb="2" eb="4">
      <t>キンガク</t>
    </rPh>
    <rPh sb="4" eb="6">
      <t>ゴウケイ</t>
    </rPh>
    <phoneticPr fontId="4"/>
  </si>
  <si>
    <t>W10</t>
    <phoneticPr fontId="4"/>
  </si>
  <si>
    <t>手数料</t>
    <rPh sb="0" eb="3">
      <t>テスウリョウ</t>
    </rPh>
    <phoneticPr fontId="4"/>
  </si>
  <si>
    <t>エントリー締め切り前の変更は、エントリーシートを編集の上、変更点を通信欄に記入して提出してください。</t>
    <rPh sb="5" eb="6">
      <t>シ</t>
    </rPh>
    <rPh sb="7" eb="8">
      <t>キ</t>
    </rPh>
    <rPh sb="9" eb="10">
      <t>マエ</t>
    </rPh>
    <rPh sb="11" eb="13">
      <t>ヘンコウ</t>
    </rPh>
    <rPh sb="24" eb="26">
      <t>ヘンシュウ</t>
    </rPh>
    <rPh sb="27" eb="28">
      <t>ウエ</t>
    </rPh>
    <rPh sb="29" eb="32">
      <t>ヘンコウテン</t>
    </rPh>
    <rPh sb="33" eb="36">
      <t>ツウシンラン</t>
    </rPh>
    <rPh sb="37" eb="39">
      <t>キニュウ</t>
    </rPh>
    <rPh sb="41" eb="43">
      <t>テイシュツ</t>
    </rPh>
    <phoneticPr fontId="4"/>
  </si>
  <si>
    <t>変更
種別</t>
    <rPh sb="0" eb="2">
      <t>ヘンコウ</t>
    </rPh>
    <rPh sb="3" eb="5">
      <t>シュベツ</t>
    </rPh>
    <phoneticPr fontId="4"/>
  </si>
  <si>
    <t>追加</t>
    <rPh sb="0" eb="2">
      <t>ツイカ</t>
    </rPh>
    <phoneticPr fontId="4"/>
  </si>
  <si>
    <t>馬匹名</t>
    <rPh sb="0" eb="2">
      <t>バヒツ</t>
    </rPh>
    <rPh sb="2" eb="3">
      <t>メイ</t>
    </rPh>
    <phoneticPr fontId="4"/>
  </si>
  <si>
    <t>区分</t>
    <rPh sb="0" eb="2">
      <t>クブン</t>
    </rPh>
    <phoneticPr fontId="4"/>
  </si>
  <si>
    <t>所属</t>
    <rPh sb="0" eb="2">
      <t>ショゾク</t>
    </rPh>
    <phoneticPr fontId="4"/>
  </si>
  <si>
    <t>保険加入</t>
    <rPh sb="0" eb="2">
      <t>ホケン</t>
    </rPh>
    <rPh sb="2" eb="4">
      <t>カニュウ</t>
    </rPh>
    <phoneticPr fontId="4"/>
  </si>
  <si>
    <t>リスト!$K$2:$K$3</t>
    <phoneticPr fontId="4"/>
  </si>
  <si>
    <t>リストから選択用</t>
    <rPh sb="5" eb="7">
      <t>センタク</t>
    </rPh>
    <rPh sb="7" eb="8">
      <t>ヨウ</t>
    </rPh>
    <phoneticPr fontId="4"/>
  </si>
  <si>
    <t>追加馬匹</t>
    <rPh sb="0" eb="2">
      <t>ツイカ</t>
    </rPh>
    <rPh sb="2" eb="4">
      <t>バヒツ</t>
    </rPh>
    <phoneticPr fontId="4"/>
  </si>
  <si>
    <t>姓</t>
  </si>
  <si>
    <t>名</t>
  </si>
  <si>
    <t>INDIRECT</t>
    <phoneticPr fontId="4"/>
  </si>
  <si>
    <t>2019年10月16日（火）までに申し込むこと。</t>
    <phoneticPr fontId="4"/>
  </si>
  <si>
    <t>(馬匹登録)</t>
    <rPh sb="3" eb="5">
      <t>トウロク</t>
    </rPh>
    <phoneticPr fontId="4"/>
  </si>
  <si>
    <t>(選手登録)</t>
    <rPh sb="3" eb="5">
      <t>トウロク</t>
    </rPh>
    <phoneticPr fontId="4"/>
  </si>
  <si>
    <t>料金</t>
    <rPh sb="0" eb="2">
      <t>リョウキン</t>
    </rPh>
    <phoneticPr fontId="4"/>
  </si>
  <si>
    <t>合計</t>
    <rPh sb="0" eb="2">
      <t>ゴウケイ</t>
    </rPh>
    <phoneticPr fontId="4"/>
  </si>
  <si>
    <t>選手集約</t>
    <rPh sb="0" eb="2">
      <t>センシュ</t>
    </rPh>
    <rPh sb="2" eb="4">
      <t>シュウヤク</t>
    </rPh>
    <phoneticPr fontId="4"/>
  </si>
  <si>
    <t>変更番号</t>
    <rPh sb="0" eb="2">
      <t>ヘンコウ</t>
    </rPh>
    <rPh sb="2" eb="4">
      <t>バンゴウ</t>
    </rPh>
    <phoneticPr fontId="4"/>
  </si>
  <si>
    <t>馬名</t>
    <rPh sb="0" eb="2">
      <t>バメイ</t>
    </rPh>
    <phoneticPr fontId="4"/>
  </si>
  <si>
    <t>(注)競技番号は実施順序とは異なります</t>
    <rPh sb="1" eb="2">
      <t>チュウ</t>
    </rPh>
    <rPh sb="3" eb="5">
      <t>キョウギ</t>
    </rPh>
    <rPh sb="5" eb="7">
      <t>バンゴウ</t>
    </rPh>
    <rPh sb="8" eb="10">
      <t>ジッシ</t>
    </rPh>
    <rPh sb="10" eb="12">
      <t>ジュンジョ</t>
    </rPh>
    <rPh sb="14" eb="15">
      <t>コト</t>
    </rPh>
    <phoneticPr fontId="4"/>
  </si>
  <si>
    <t>■ エントリーの変更について</t>
    <rPh sb="8" eb="10">
      <t>ヘンコウ</t>
    </rPh>
    <phoneticPr fontId="4"/>
  </si>
  <si>
    <t>メールアドレス： shabaren@jbg.jp</t>
    <phoneticPr fontId="4"/>
  </si>
  <si>
    <t>■ 日程</t>
    <rPh sb="2" eb="4">
      <t>ニッテイ</t>
    </rPh>
    <phoneticPr fontId="4"/>
  </si>
  <si>
    <t>■ 記入方法</t>
    <rPh sb="2" eb="4">
      <t>キニュウ</t>
    </rPh>
    <rPh sb="4" eb="6">
      <t>ホウホウ</t>
    </rPh>
    <phoneticPr fontId="4"/>
  </si>
  <si>
    <t>日本社会人団体馬術連盟 事務局</t>
    <rPh sb="0" eb="11">
      <t>ｊｂｇ</t>
    </rPh>
    <rPh sb="12" eb="15">
      <t>ジムキョク</t>
    </rPh>
    <phoneticPr fontId="4"/>
  </si>
  <si>
    <t>・まず、「団体登録」、「選手登録」、「馬匹登録」の各シートのクリーム色の部分を入力してください。</t>
    <rPh sb="5" eb="7">
      <t>ダンタイ</t>
    </rPh>
    <rPh sb="7" eb="9">
      <t>トウロク</t>
    </rPh>
    <rPh sb="12" eb="14">
      <t>センシュ</t>
    </rPh>
    <rPh sb="14" eb="16">
      <t>トウロク</t>
    </rPh>
    <rPh sb="19" eb="21">
      <t>バヒツ</t>
    </rPh>
    <rPh sb="21" eb="23">
      <t>トウロク</t>
    </rPh>
    <rPh sb="25" eb="26">
      <t>カク</t>
    </rPh>
    <rPh sb="34" eb="35">
      <t>イロ</t>
    </rPh>
    <rPh sb="36" eb="38">
      <t>ブブン</t>
    </rPh>
    <rPh sb="39" eb="41">
      <t>ニュウリョク</t>
    </rPh>
    <phoneticPr fontId="4"/>
  </si>
  <si>
    <t>・エントリー締め切り前の変更は、エントリーシートを編集の上、変更点を通信欄に記入して提出してください。</t>
    <rPh sb="6" eb="7">
      <t>シ</t>
    </rPh>
    <rPh sb="8" eb="9">
      <t>キ</t>
    </rPh>
    <rPh sb="10" eb="11">
      <t>マエ</t>
    </rPh>
    <rPh sb="12" eb="14">
      <t>ヘンコウ</t>
    </rPh>
    <rPh sb="25" eb="27">
      <t>ヘンシュウ</t>
    </rPh>
    <rPh sb="28" eb="29">
      <t>ウエ</t>
    </rPh>
    <rPh sb="30" eb="33">
      <t>ヘンコウテン</t>
    </rPh>
    <rPh sb="34" eb="37">
      <t>ツウシンラン</t>
    </rPh>
    <rPh sb="38" eb="40">
      <t>キニュウ</t>
    </rPh>
    <rPh sb="42" eb="44">
      <t>テイシュツ</t>
    </rPh>
    <phoneticPr fontId="4"/>
  </si>
  <si>
    <t>・ファイル名に団体名を付けて、メールにてお申し込みください。</t>
    <rPh sb="5" eb="6">
      <t>メイ</t>
    </rPh>
    <rPh sb="7" eb="9">
      <t>ダンタイ</t>
    </rPh>
    <rPh sb="9" eb="10">
      <t>メイ</t>
    </rPh>
    <rPh sb="11" eb="12">
      <t>ツ</t>
    </rPh>
    <rPh sb="21" eb="22">
      <t>モウ</t>
    </rPh>
    <rPh sb="23" eb="24">
      <t>コ</t>
    </rPh>
    <phoneticPr fontId="4"/>
  </si>
  <si>
    <t>・内容、金額等を確認して、保存してください。</t>
    <rPh sb="1" eb="3">
      <t>ナイヨウ</t>
    </rPh>
    <rPh sb="4" eb="6">
      <t>キンガク</t>
    </rPh>
    <rPh sb="6" eb="7">
      <t>トウ</t>
    </rPh>
    <rPh sb="8" eb="10">
      <t>カクニン</t>
    </rPh>
    <rPh sb="13" eb="15">
      <t>ホゾン</t>
    </rPh>
    <phoneticPr fontId="4"/>
  </si>
  <si>
    <t>馬匹登録料</t>
    <rPh sb="0" eb="2">
      <t>バヒツ</t>
    </rPh>
    <rPh sb="2" eb="4">
      <t>トウロク</t>
    </rPh>
    <rPh sb="4" eb="5">
      <t>リョウ</t>
    </rPh>
    <phoneticPr fontId="4"/>
  </si>
  <si>
    <t>エントリー数</t>
    <rPh sb="5" eb="6">
      <t>スウ</t>
    </rPh>
    <phoneticPr fontId="4"/>
  </si>
  <si>
    <t>エントリー料金合計：</t>
    <rPh sb="5" eb="6">
      <t>リョウ</t>
    </rPh>
    <rPh sb="6" eb="7">
      <t>キン</t>
    </rPh>
    <rPh sb="7" eb="9">
      <t>ゴウケイ</t>
    </rPh>
    <phoneticPr fontId="4"/>
  </si>
  <si>
    <t>登録馬匹数</t>
    <rPh sb="0" eb="2">
      <t>トウロク</t>
    </rPh>
    <rPh sb="2" eb="4">
      <t>バヒツ</t>
    </rPh>
    <rPh sb="4" eb="5">
      <t>スウ</t>
    </rPh>
    <phoneticPr fontId="4"/>
  </si>
  <si>
    <t>Y</t>
    <phoneticPr fontId="4"/>
  </si>
  <si>
    <t>変更項目を選択後、クリーム色のセルを入力・選択してください。</t>
    <rPh sb="13" eb="14">
      <t>イロ</t>
    </rPh>
    <phoneticPr fontId="4"/>
  </si>
  <si>
    <t>保険</t>
    <rPh sb="0" eb="2">
      <t>ホケン</t>
    </rPh>
    <phoneticPr fontId="4"/>
  </si>
  <si>
    <t>番号</t>
    <rPh sb="0" eb="2">
      <t>バンゴウ</t>
    </rPh>
    <phoneticPr fontId="4"/>
  </si>
  <si>
    <t>選手姓</t>
    <rPh sb="0" eb="2">
      <t>センシュ</t>
    </rPh>
    <rPh sb="2" eb="3">
      <t>セイ</t>
    </rPh>
    <phoneticPr fontId="4"/>
  </si>
  <si>
    <t>名</t>
    <rPh sb="0" eb="1">
      <t>メイ</t>
    </rPh>
    <phoneticPr fontId="4"/>
  </si>
  <si>
    <t>集計用</t>
    <rPh sb="0" eb="3">
      <t>シュウケイヨウ</t>
    </rPh>
    <phoneticPr fontId="4"/>
  </si>
  <si>
    <t>作業テーブル</t>
    <rPh sb="0" eb="2">
      <t>サギョウ</t>
    </rPh>
    <phoneticPr fontId="4"/>
  </si>
  <si>
    <t>参照リスト INDIRECT用</t>
    <rPh sb="0" eb="2">
      <t>サンショウ</t>
    </rPh>
    <rPh sb="14" eb="15">
      <t>ヨウ</t>
    </rPh>
    <phoneticPr fontId="4"/>
  </si>
  <si>
    <t>作業用</t>
    <rPh sb="0" eb="3">
      <t>サギョウヨウ</t>
    </rPh>
    <phoneticPr fontId="4"/>
  </si>
  <si>
    <t>集約用</t>
    <rPh sb="0" eb="2">
      <t>シュウヤク</t>
    </rPh>
    <rPh sb="2" eb="3">
      <t>ヨウ</t>
    </rPh>
    <phoneticPr fontId="4"/>
  </si>
  <si>
    <t>参照用</t>
    <rPh sb="0" eb="3">
      <t>サンショウヨウ</t>
    </rPh>
    <phoneticPr fontId="4"/>
  </si>
  <si>
    <t>選手情報</t>
    <rPh sb="0" eb="2">
      <t>センシュ</t>
    </rPh>
    <rPh sb="2" eb="4">
      <t>ジョウホウ</t>
    </rPh>
    <phoneticPr fontId="4"/>
  </si>
  <si>
    <t>選手名</t>
    <phoneticPr fontId="4"/>
  </si>
  <si>
    <t>馬匹情報</t>
    <rPh sb="0" eb="2">
      <t>バヒツ</t>
    </rPh>
    <rPh sb="2" eb="4">
      <t>ジョウホウ</t>
    </rPh>
    <phoneticPr fontId="4"/>
  </si>
  <si>
    <t>代表・責任者</t>
    <rPh sb="0" eb="2">
      <t>ダイヒョウ</t>
    </rPh>
    <rPh sb="3" eb="6">
      <t>セキニンシャ</t>
    </rPh>
    <phoneticPr fontId="4"/>
  </si>
  <si>
    <t>競技名(番号・班入り)</t>
    <rPh sb="0" eb="2">
      <t>キョウギ</t>
    </rPh>
    <rPh sb="2" eb="3">
      <t>メイ</t>
    </rPh>
    <rPh sb="4" eb="6">
      <t>バンゴウ</t>
    </rPh>
    <rPh sb="7" eb="8">
      <t>ハン</t>
    </rPh>
    <rPh sb="8" eb="9">
      <t>イ</t>
    </rPh>
    <phoneticPr fontId="4"/>
  </si>
  <si>
    <t>エントリ
選択</t>
    <rPh sb="5" eb="7">
      <t>センタク</t>
    </rPh>
    <phoneticPr fontId="4"/>
  </si>
  <si>
    <t>全部</t>
    <rPh sb="0" eb="2">
      <t>ゼンブ</t>
    </rPh>
    <phoneticPr fontId="4"/>
  </si>
  <si>
    <t>オープンなし</t>
    <phoneticPr fontId="4"/>
  </si>
  <si>
    <t>リスト!$H$2:$H$4</t>
    <phoneticPr fontId="4"/>
  </si>
  <si>
    <t>一般のみ</t>
    <rPh sb="0" eb="2">
      <t>イッパン</t>
    </rPh>
    <phoneticPr fontId="4"/>
  </si>
  <si>
    <t>リスト!$H$2:$H$2</t>
    <phoneticPr fontId="4"/>
  </si>
  <si>
    <t>社馬連のみ</t>
    <rPh sb="0" eb="3">
      <t>シャバレン</t>
    </rPh>
    <phoneticPr fontId="4"/>
  </si>
  <si>
    <t>リスト!$H$3:$H$3</t>
    <phoneticPr fontId="4"/>
  </si>
  <si>
    <t>学生のみ</t>
    <rPh sb="0" eb="2">
      <t>ガクセイ</t>
    </rPh>
    <phoneticPr fontId="4"/>
  </si>
  <si>
    <t>リスト!$H$4:$H$4</t>
    <phoneticPr fontId="4"/>
  </si>
  <si>
    <t>通信欄</t>
    <rPh sb="0" eb="3">
      <t>ツウシンラン</t>
    </rPh>
    <phoneticPr fontId="4"/>
  </si>
  <si>
    <t>馬匹集約</t>
    <rPh sb="0" eb="2">
      <t>バヒツ</t>
    </rPh>
    <rPh sb="2" eb="4">
      <t>シュウヤク</t>
    </rPh>
    <phoneticPr fontId="4"/>
  </si>
  <si>
    <t>公認</t>
    <rPh sb="0" eb="2">
      <t>コウニン</t>
    </rPh>
    <phoneticPr fontId="4"/>
  </si>
  <si>
    <t>誓約</t>
    <rPh sb="0" eb="2">
      <t>セイヤク</t>
    </rPh>
    <phoneticPr fontId="4"/>
  </si>
  <si>
    <t>以上、誓約いたします。</t>
  </si>
  <si>
    <t>通信欄
(16, 38競技は選択課目を記入)</t>
    <rPh sb="0" eb="3">
      <t>ツウシンラン</t>
    </rPh>
    <rPh sb="11" eb="13">
      <t>キョウギ</t>
    </rPh>
    <rPh sb="14" eb="16">
      <t>センタク</t>
    </rPh>
    <rPh sb="16" eb="18">
      <t>カモク</t>
    </rPh>
    <rPh sb="19" eb="21">
      <t>キニュウ</t>
    </rPh>
    <phoneticPr fontId="4"/>
  </si>
  <si>
    <t>委  任  状</t>
    <rPh sb="0" eb="1">
      <t>イ</t>
    </rPh>
    <rPh sb="3" eb="4">
      <t>ニン</t>
    </rPh>
    <rPh sb="6" eb="7">
      <t>ジョウ</t>
    </rPh>
    <phoneticPr fontId="4"/>
  </si>
  <si>
    <t>大会会長</t>
    <rPh sb="0" eb="2">
      <t>タイカイ</t>
    </rPh>
    <rPh sb="2" eb="4">
      <t>カイチョウ</t>
    </rPh>
    <phoneticPr fontId="4"/>
  </si>
  <si>
    <t>2019年</t>
    <rPh sb="4" eb="5">
      <t>ネン</t>
    </rPh>
    <phoneticPr fontId="4"/>
  </si>
  <si>
    <t>月</t>
    <rPh sb="0" eb="1">
      <t>ガツ</t>
    </rPh>
    <phoneticPr fontId="4"/>
  </si>
  <si>
    <t>日</t>
    <rPh sb="0" eb="1">
      <t>ニチ</t>
    </rPh>
    <phoneticPr fontId="4"/>
  </si>
  <si>
    <t>選手名</t>
    <rPh sb="0" eb="3">
      <t>センシュメイ</t>
    </rPh>
    <phoneticPr fontId="4"/>
  </si>
  <si>
    <t>保護者名(自署)</t>
    <rPh sb="0" eb="3">
      <t>ホゴシャ</t>
    </rPh>
    <rPh sb="3" eb="4">
      <t>メイ</t>
    </rPh>
    <rPh sb="5" eb="7">
      <t>ジショ</t>
    </rPh>
    <phoneticPr fontId="4"/>
  </si>
  <si>
    <t>団体名</t>
    <rPh sb="0" eb="2">
      <t>ダンタイ</t>
    </rPh>
    <rPh sb="2" eb="3">
      <t>メイ</t>
    </rPh>
    <phoneticPr fontId="4"/>
  </si>
  <si>
    <t>未成年者の落馬後の再騎乗に関する保護者からの委任状</t>
    <rPh sb="0" eb="4">
      <t>ミセイネンシャ</t>
    </rPh>
    <rPh sb="5" eb="7">
      <t>ラクバ</t>
    </rPh>
    <rPh sb="7" eb="8">
      <t>ゴ</t>
    </rPh>
    <rPh sb="9" eb="10">
      <t>サイ</t>
    </rPh>
    <rPh sb="10" eb="12">
      <t>キジョウ</t>
    </rPh>
    <rPh sb="13" eb="14">
      <t>カン</t>
    </rPh>
    <rPh sb="16" eb="19">
      <t>ホゴシャ</t>
    </rPh>
    <rPh sb="22" eb="25">
      <t>イニンジョウ</t>
    </rPh>
    <phoneticPr fontId="4"/>
  </si>
  <si>
    <t>未成年</t>
    <rPh sb="0" eb="3">
      <t>ミセイネン</t>
    </rPh>
    <phoneticPr fontId="4"/>
  </si>
  <si>
    <t>成人・未成年</t>
    <rPh sb="0" eb="2">
      <t>セイジン</t>
    </rPh>
    <rPh sb="3" eb="6">
      <t>ミセイネン</t>
    </rPh>
    <phoneticPr fontId="4"/>
  </si>
  <si>
    <t>*2 2019年10月11日時点で未成年の場合、未成年と入力してください。必要があれば「未成年者の落馬後の再騎乗に関する保護者からの委任状」を選手毎に提出してください。</t>
    <rPh sb="7" eb="8">
      <t>ネン</t>
    </rPh>
    <rPh sb="10" eb="11">
      <t>ガツ</t>
    </rPh>
    <rPh sb="13" eb="14">
      <t>ニチ</t>
    </rPh>
    <rPh sb="14" eb="16">
      <t>ジテン</t>
    </rPh>
    <rPh sb="17" eb="20">
      <t>ミセイネン</t>
    </rPh>
    <rPh sb="21" eb="23">
      <t>バアイ</t>
    </rPh>
    <rPh sb="24" eb="27">
      <t>ミセイネン</t>
    </rPh>
    <rPh sb="28" eb="30">
      <t>ニュウリョク</t>
    </rPh>
    <rPh sb="37" eb="39">
      <t>ヒツヨウ</t>
    </rPh>
    <rPh sb="44" eb="48">
      <t>ミセイネンシャ</t>
    </rPh>
    <rPh sb="49" eb="51">
      <t>ラクバ</t>
    </rPh>
    <rPh sb="51" eb="52">
      <t>ゴ</t>
    </rPh>
    <rPh sb="53" eb="54">
      <t>サイ</t>
    </rPh>
    <rPh sb="54" eb="56">
      <t>キジョウ</t>
    </rPh>
    <rPh sb="57" eb="58">
      <t>カン</t>
    </rPh>
    <rPh sb="60" eb="63">
      <t>ホゴシャ</t>
    </rPh>
    <rPh sb="66" eb="69">
      <t>イニンジョウ</t>
    </rPh>
    <rPh sb="71" eb="73">
      <t>センシュ</t>
    </rPh>
    <rPh sb="73" eb="74">
      <t>マイ</t>
    </rPh>
    <rPh sb="75" eb="77">
      <t>テイシュツ</t>
    </rPh>
    <phoneticPr fontId="4"/>
  </si>
  <si>
    <t>エントリー締め切り後、変更受付期間の変更は、こちらの変更申し込みに記入してください。</t>
    <rPh sb="5" eb="6">
      <t>シ</t>
    </rPh>
    <rPh sb="7" eb="8">
      <t>キ</t>
    </rPh>
    <rPh sb="9" eb="10">
      <t>ゴ</t>
    </rPh>
    <rPh sb="11" eb="13">
      <t>ヘンコウ</t>
    </rPh>
    <rPh sb="13" eb="15">
      <t>ウケツケ</t>
    </rPh>
    <rPh sb="15" eb="17">
      <t>キカン</t>
    </rPh>
    <rPh sb="18" eb="20">
      <t>ヘンコウ</t>
    </rPh>
    <rPh sb="26" eb="28">
      <t>ヘンコウ</t>
    </rPh>
    <rPh sb="28" eb="29">
      <t>モウ</t>
    </rPh>
    <rPh sb="30" eb="31">
      <t>コ</t>
    </rPh>
    <rPh sb="33" eb="35">
      <t>キニュウ</t>
    </rPh>
    <phoneticPr fontId="4"/>
  </si>
  <si>
    <t>　本状記載の選手が落馬した場合の再騎乗に関する判断について、団体代表・当日団体責任者、または＿＿＿＿＿＿＿＿＿＿氏に一任します。</t>
    <rPh sb="20" eb="21">
      <t>カン</t>
    </rPh>
    <rPh sb="30" eb="32">
      <t>ダンタイ</t>
    </rPh>
    <rPh sb="32" eb="34">
      <t>ダイヒョウ</t>
    </rPh>
    <rPh sb="35" eb="37">
      <t>トウジツ</t>
    </rPh>
    <rPh sb="37" eb="39">
      <t>ダンタイ</t>
    </rPh>
    <rPh sb="39" eb="42">
      <t>セキニンシャ</t>
    </rPh>
    <rPh sb="56" eb="57">
      <t>シ</t>
    </rPh>
    <rPh sb="58" eb="60">
      <t>イチニン</t>
    </rPh>
    <phoneticPr fontId="4"/>
  </si>
  <si>
    <t>回数</t>
    <rPh sb="0" eb="2">
      <t>カイスウ</t>
    </rPh>
    <phoneticPr fontId="4"/>
  </si>
  <si>
    <t>・委任状は、印刷して、日付記入・署名・捺印して、日本社会人団体馬術連盟 事務局まで郵送、または打ち合わせ会 会場で提出してください。</t>
    <rPh sb="1" eb="4">
      <t>イニンジョウ</t>
    </rPh>
    <rPh sb="6" eb="8">
      <t>インサツ</t>
    </rPh>
    <rPh sb="11" eb="13">
      <t>ヒヅケ</t>
    </rPh>
    <rPh sb="13" eb="15">
      <t>キニュウ</t>
    </rPh>
    <rPh sb="16" eb="18">
      <t>ショメイ</t>
    </rPh>
    <rPh sb="19" eb="21">
      <t>ナツイン</t>
    </rPh>
    <rPh sb="24" eb="35">
      <t>ｊｂｇ</t>
    </rPh>
    <rPh sb="36" eb="39">
      <t>ジムキョク</t>
    </rPh>
    <rPh sb="41" eb="43">
      <t>ユウソウ</t>
    </rPh>
    <rPh sb="47" eb="48">
      <t>ウ</t>
    </rPh>
    <rPh sb="49" eb="50">
      <t>ア</t>
    </rPh>
    <rPh sb="52" eb="53">
      <t>カイ</t>
    </rPh>
    <rPh sb="54" eb="56">
      <t>カイジョウ</t>
    </rPh>
    <rPh sb="57" eb="59">
      <t>テイシュツ</t>
    </rPh>
    <phoneticPr fontId="4"/>
  </si>
  <si>
    <t>・エントリー締め切り後の変更受付期間中の変更は、「変更申し込み」シートに記入して提出してください。</t>
    <rPh sb="6" eb="7">
      <t>シ</t>
    </rPh>
    <rPh sb="8" eb="9">
      <t>キ</t>
    </rPh>
    <rPh sb="10" eb="11">
      <t>ゴ</t>
    </rPh>
    <rPh sb="12" eb="14">
      <t>ヘンコウ</t>
    </rPh>
    <rPh sb="14" eb="16">
      <t>ウケツケ</t>
    </rPh>
    <rPh sb="16" eb="19">
      <t>キカンチュウ</t>
    </rPh>
    <rPh sb="20" eb="22">
      <t>ヘンコウ</t>
    </rPh>
    <rPh sb="25" eb="27">
      <t>ヘンコウ</t>
    </rPh>
    <rPh sb="27" eb="28">
      <t>モウ</t>
    </rPh>
    <rPh sb="29" eb="30">
      <t>コ</t>
    </rPh>
    <rPh sb="36" eb="38">
      <t>キニュウ</t>
    </rPh>
    <rPh sb="40" eb="42">
      <t>テイシュツ</t>
    </rPh>
    <phoneticPr fontId="4"/>
  </si>
  <si>
    <t>・エントリーの変更・追加によって、不足金が発生した場合、不足金の納付を以って、変更・追加の受領とします。</t>
    <rPh sb="7" eb="9">
      <t>ヘンコウ</t>
    </rPh>
    <rPh sb="10" eb="12">
      <t>ツイカ</t>
    </rPh>
    <rPh sb="17" eb="19">
      <t>フソク</t>
    </rPh>
    <rPh sb="19" eb="20">
      <t>キン</t>
    </rPh>
    <rPh sb="21" eb="23">
      <t>ハッセイ</t>
    </rPh>
    <rPh sb="25" eb="27">
      <t>バアイ</t>
    </rPh>
    <rPh sb="28" eb="30">
      <t>フソク</t>
    </rPh>
    <rPh sb="30" eb="31">
      <t>キン</t>
    </rPh>
    <rPh sb="32" eb="34">
      <t>ノウフ</t>
    </rPh>
    <rPh sb="35" eb="36">
      <t>モ</t>
    </rPh>
    <rPh sb="39" eb="41">
      <t>ヘンコウ</t>
    </rPh>
    <rPh sb="42" eb="44">
      <t>ツイカ</t>
    </rPh>
    <rPh sb="45" eb="47">
      <t>ジュリョウ</t>
    </rPh>
    <phoneticPr fontId="4"/>
  </si>
  <si>
    <t>・エントリーのキャンセル、変更によって余剰金が生じた場合でも、返金は行いません。</t>
    <rPh sb="13" eb="15">
      <t>ヘンコウ</t>
    </rPh>
    <rPh sb="19" eb="21">
      <t>ヨジョウ</t>
    </rPh>
    <rPh sb="21" eb="22">
      <t>キン</t>
    </rPh>
    <rPh sb="23" eb="24">
      <t>ショウ</t>
    </rPh>
    <rPh sb="26" eb="28">
      <t>バアイ</t>
    </rPh>
    <rPh sb="31" eb="33">
      <t>ヘンキン</t>
    </rPh>
    <rPh sb="34" eb="35">
      <t>オコナ</t>
    </rPh>
    <phoneticPr fontId="4"/>
  </si>
  <si>
    <t>・人馬両方の変更や、競技・日程の変更は、エントリーのキャンセルと追加の扱いとなります。</t>
    <rPh sb="1" eb="3">
      <t>ジンバ</t>
    </rPh>
    <rPh sb="3" eb="5">
      <t>リョウホウ</t>
    </rPh>
    <rPh sb="6" eb="8">
      <t>ヘンコウ</t>
    </rPh>
    <rPh sb="10" eb="12">
      <t>キョウギ</t>
    </rPh>
    <rPh sb="13" eb="15">
      <t>ニッテイ</t>
    </rPh>
    <rPh sb="16" eb="18">
      <t>ヘンコウ</t>
    </rPh>
    <rPh sb="32" eb="34">
      <t>ツイカ</t>
    </rPh>
    <rPh sb="35" eb="36">
      <t>アツカ</t>
    </rPh>
    <phoneticPr fontId="4"/>
  </si>
  <si>
    <t>　私たち選手及び関係者は「第40回 キャロットステークス」に参加するにあたり、大会の趣旨とルールを順守し、ホースマンシップに則って臨みます。
　また、会場内では人馬含め、あらゆる安全に十分配慮して行動し、万が一事故等に遭遇した場合でも、貴連盟にその責や異議を申し立てません。
　すべての選手は適切な傷害保険に加入しています。</t>
    <rPh sb="143" eb="145">
      <t>センシュ</t>
    </rPh>
    <rPh sb="146" eb="148">
      <t>テキセツ</t>
    </rPh>
    <rPh sb="149" eb="151">
      <t>ショウガイ</t>
    </rPh>
    <rPh sb="151" eb="153">
      <t>ホケン</t>
    </rPh>
    <rPh sb="154" eb="156">
      <t>カニュウ</t>
    </rPh>
    <phoneticPr fontId="4"/>
  </si>
  <si>
    <t>(団体情報・誓約)</t>
    <rPh sb="6" eb="8">
      <t>セイヤク</t>
    </rPh>
    <phoneticPr fontId="4"/>
  </si>
  <si>
    <t xml:space="preserve">印 </t>
    <rPh sb="0" eb="1">
      <t>イン</t>
    </rPh>
    <phoneticPr fontId="4"/>
  </si>
  <si>
    <t>エントリー締め切り： 2019年9月13日(金)</t>
    <rPh sb="5" eb="6">
      <t>シ</t>
    </rPh>
    <rPh sb="7" eb="8">
      <t>キ</t>
    </rPh>
    <rPh sb="15" eb="16">
      <t>ネン</t>
    </rPh>
    <rPh sb="17" eb="18">
      <t>ガツ</t>
    </rPh>
    <rPh sb="20" eb="21">
      <t>ニチ</t>
    </rPh>
    <rPh sb="22" eb="23">
      <t>キン</t>
    </rPh>
    <phoneticPr fontId="4"/>
  </si>
  <si>
    <t>エントリー変更受付期間 2019年9月14日 ～ 9月27日(金)</t>
    <rPh sb="5" eb="7">
      <t>ヘンコウ</t>
    </rPh>
    <rPh sb="7" eb="9">
      <t>ウケツケ</t>
    </rPh>
    <rPh sb="9" eb="11">
      <t>キカン</t>
    </rPh>
    <rPh sb="16" eb="17">
      <t>ネン</t>
    </rPh>
    <rPh sb="18" eb="19">
      <t>ゲツ</t>
    </rPh>
    <rPh sb="21" eb="22">
      <t>ニチ</t>
    </rPh>
    <rPh sb="26" eb="27">
      <t>ガツ</t>
    </rPh>
    <rPh sb="29" eb="30">
      <t>ニチ</t>
    </rPh>
    <rPh sb="31" eb="32">
      <t>キン</t>
    </rPh>
    <phoneticPr fontId="4"/>
  </si>
  <si>
    <t>誓約</t>
    <rPh sb="0" eb="2">
      <t>セイヤク</t>
    </rPh>
    <phoneticPr fontId="4"/>
  </si>
  <si>
    <t>学生賞典馬場馬術競技</t>
    <rPh sb="0" eb="2">
      <t>ガクセイ</t>
    </rPh>
    <rPh sb="2" eb="4">
      <t>ショウテン</t>
    </rPh>
    <rPh sb="4" eb="10">
      <t>ババ</t>
    </rPh>
    <phoneticPr fontId="4"/>
  </si>
  <si>
    <t>(変更申し込み － 変更受付期間用)</t>
    <rPh sb="10" eb="12">
      <t>ヘンコウ</t>
    </rPh>
    <rPh sb="12" eb="14">
      <t>ウケツケ</t>
    </rPh>
    <rPh sb="14" eb="16">
      <t>キカン</t>
    </rPh>
    <rPh sb="16" eb="17">
      <t>ヨウ</t>
    </rPh>
    <phoneticPr fontId="4"/>
  </si>
  <si>
    <r>
      <t>(左側BOXに</t>
    </r>
    <r>
      <rPr>
        <sz val="9"/>
        <color theme="1"/>
        <rFont val="Segoe UI Symbol"/>
        <family val="2"/>
      </rPr>
      <t>✔</t>
    </r>
    <r>
      <rPr>
        <sz val="9"/>
        <color theme="1"/>
        <rFont val="游ゴシック"/>
        <family val="2"/>
        <scheme val="minor"/>
      </rPr>
      <t>チェックを入れてください)</t>
    </r>
    <rPh sb="1" eb="3">
      <t>ヒダリガワ</t>
    </rPh>
    <rPh sb="13" eb="14">
      <t>イ</t>
    </rPh>
    <phoneticPr fontId="4"/>
  </si>
  <si>
    <r>
      <t>公認番号</t>
    </r>
    <r>
      <rPr>
        <sz val="9"/>
        <color theme="1"/>
        <rFont val="游ゴシック"/>
        <family val="3"/>
        <charset val="128"/>
        <scheme val="minor"/>
      </rPr>
      <t>(公認競技用)</t>
    </r>
    <rPh sb="0" eb="2">
      <t>コウニン</t>
    </rPh>
    <rPh sb="2" eb="4">
      <t>バンゴウ</t>
    </rPh>
    <rPh sb="5" eb="7">
      <t>コウニン</t>
    </rPh>
    <rPh sb="7" eb="9">
      <t>キョウギ</t>
    </rPh>
    <rPh sb="9" eb="10">
      <t>ヨウ</t>
    </rPh>
    <phoneticPr fontId="4"/>
  </si>
  <si>
    <r>
      <t>選手名</t>
    </r>
    <r>
      <rPr>
        <sz val="10"/>
        <color theme="1"/>
        <rFont val="游ゴシック"/>
        <family val="3"/>
        <charset val="128"/>
        <scheme val="minor"/>
      </rPr>
      <t>(変更後)</t>
    </r>
    <rPh sb="0" eb="3">
      <t>センシュメイ</t>
    </rPh>
    <rPh sb="4" eb="6">
      <t>ヘンコウ</t>
    </rPh>
    <rPh sb="6" eb="7">
      <t>ゴ</t>
    </rPh>
    <phoneticPr fontId="4"/>
  </si>
  <si>
    <t>・ その後、「エントリー」シートのクリーム色の部分にエントリーを入力してください。16, 38競技は選択課目を通信欄に記入してください。</t>
    <rPh sb="4" eb="5">
      <t>ゴ</t>
    </rPh>
    <rPh sb="21" eb="22">
      <t>イロ</t>
    </rPh>
    <rPh sb="23" eb="25">
      <t>ブブン</t>
    </rPh>
    <rPh sb="32" eb="34">
      <t>ニュウリョク</t>
    </rPh>
    <phoneticPr fontId="4"/>
  </si>
  <si>
    <t>※ 可能な限り、エクセルファイルへの入力・メール提出でのエントリーをお願いします。 ※</t>
    <rPh sb="2" eb="4">
      <t>カノウ</t>
    </rPh>
    <rPh sb="5" eb="6">
      <t>カギ</t>
    </rPh>
    <rPh sb="18" eb="20">
      <t>ニュウリョク</t>
    </rPh>
    <rPh sb="24" eb="26">
      <t>テイシュツ</t>
    </rPh>
    <rPh sb="35" eb="36">
      <t>ネガ</t>
    </rPh>
    <phoneticPr fontId="4"/>
  </si>
  <si>
    <t>自由選択課目</t>
    <rPh sb="0" eb="2">
      <t>ジユウ</t>
    </rPh>
    <rPh sb="2" eb="4">
      <t>センタク</t>
    </rPh>
    <rPh sb="4" eb="6">
      <t>カモク</t>
    </rPh>
    <phoneticPr fontId="4"/>
  </si>
  <si>
    <t>JEF A1課目 2013(2018年更新版)</t>
    <rPh sb="6" eb="8">
      <t>カモク</t>
    </rPh>
    <phoneticPr fontId="4"/>
  </si>
  <si>
    <t>JEF A2課目 2013(2018年更新版)</t>
    <rPh sb="6" eb="8">
      <t>カモク</t>
    </rPh>
    <phoneticPr fontId="4"/>
  </si>
  <si>
    <t>JEF A3課目 2013(2018年更新版)</t>
    <rPh sb="6" eb="8">
      <t>カモク</t>
    </rPh>
    <phoneticPr fontId="4"/>
  </si>
  <si>
    <t>JEF A4課目 2013(2018年更新版)</t>
    <rPh sb="6" eb="8">
      <t>カモク</t>
    </rPh>
    <phoneticPr fontId="4"/>
  </si>
  <si>
    <t>JEF A5課目 2013(2018年更新版)</t>
    <rPh sb="6" eb="8">
      <t>カモク</t>
    </rPh>
    <phoneticPr fontId="4"/>
  </si>
  <si>
    <t>JEF L1課目 2013(2018年更新版)</t>
    <rPh sb="6" eb="8">
      <t>カモク</t>
    </rPh>
    <phoneticPr fontId="4"/>
  </si>
  <si>
    <t>JEF L2課目 2013(2018年更新版)</t>
    <rPh sb="6" eb="8">
      <t>カモク</t>
    </rPh>
    <phoneticPr fontId="4"/>
  </si>
  <si>
    <t>JEF M1課目 2013(2018年更新版)</t>
    <rPh sb="6" eb="8">
      <t>カモク</t>
    </rPh>
    <phoneticPr fontId="4"/>
  </si>
  <si>
    <t>JEF M2課目 2013(2018年更新版)</t>
    <rPh sb="6" eb="8">
      <t>カモク</t>
    </rPh>
    <phoneticPr fontId="4"/>
  </si>
  <si>
    <t>JEF S1課目 2013(2018年更新版)</t>
    <rPh sb="6" eb="8">
      <t>カモク</t>
    </rPh>
    <phoneticPr fontId="4"/>
  </si>
  <si>
    <t>JEF S2課目 2013(2018年更新版)</t>
    <rPh sb="6" eb="8">
      <t>カモク</t>
    </rPh>
    <phoneticPr fontId="4"/>
  </si>
  <si>
    <t>JEF 総合馬術上級課目2019</t>
  </si>
  <si>
    <t>JEF 総合馬術中級課目2019</t>
  </si>
  <si>
    <t>JEF 総合馬術初級課目2019 A</t>
  </si>
  <si>
    <t>JEF 総合馬術初級課目2019 B</t>
  </si>
  <si>
    <t>FEI 総合馬術競技4スター 2015 馬場馬術課目 A (2019)</t>
  </si>
  <si>
    <t>FEI 総合馬術競技4スター 2015 馬場馬術課目 B (2019)</t>
  </si>
  <si>
    <t>FEI 総合馬術競技3スター 2015 馬場馬術課目 A (2019)</t>
  </si>
  <si>
    <t>FEI 総合馬術競技3スター 2015 馬場馬術課目 B (2019)</t>
  </si>
  <si>
    <t>FEI 総合馬術競技2スター 2015 馬場馬術課目 A (2019)</t>
  </si>
  <si>
    <t>FEI 総合馬術競技2スター 2015 馬場馬術課目 B (2019)</t>
  </si>
  <si>
    <t>FEI 総合馬術競技1スター(2018) 馬場馬術課目</t>
  </si>
  <si>
    <t>JEF 自由演技国体成年馬場馬術課目 (2018年更新版)</t>
  </si>
  <si>
    <t>FEI グランプリ馬場馬術課目 2009(2014年改定・2018年更新版)</t>
  </si>
  <si>
    <t>FEI グランプリスペシャル馬場馬術課目 2009(2014年改定・2018年更新版)</t>
  </si>
  <si>
    <t>FEI インターメディエイトⅠ馬場馬術課目 2009(2018年更新版)</t>
  </si>
  <si>
    <t>FEI セントジョージ賞典馬場馬術課目 2009(2018年更新版)</t>
  </si>
  <si>
    <t>FEI ヤングライダー個人競技馬場馬術課目 2009(2018年更新版)</t>
  </si>
  <si>
    <t>FEI ジュニアライダー個人競技馬場馬術課目 2009(2018年更新版)</t>
  </si>
  <si>
    <t>その他(通信欄に記載)</t>
    <rPh sb="2" eb="3">
      <t>ホカ</t>
    </rPh>
    <rPh sb="4" eb="7">
      <t>ツウシンラン</t>
    </rPh>
    <rPh sb="8" eb="10">
      <t>キサイ</t>
    </rPh>
    <phoneticPr fontId="4"/>
  </si>
  <si>
    <t>成年</t>
    <rPh sb="0" eb="2">
      <t>セイネン</t>
    </rPh>
    <phoneticPr fontId="4"/>
  </si>
  <si>
    <t>成年・
未成年(*2)</t>
    <rPh sb="0" eb="2">
      <t>セイネン</t>
    </rPh>
    <rPh sb="4" eb="7">
      <t>ミセイネン</t>
    </rPh>
    <phoneticPr fontId="4"/>
  </si>
  <si>
    <t>社馬連区分の場合、選手登録で社馬連団体を指定してください。</t>
  </si>
  <si>
    <t xml:space="preserve"> </t>
    <phoneticPr fontId="4"/>
  </si>
  <si>
    <t>エントリー区分が間違っています。</t>
    <phoneticPr fontId="4"/>
  </si>
  <si>
    <t>選手と馬匹の公認登録番号を入力してください。</t>
    <phoneticPr fontId="4"/>
  </si>
  <si>
    <t>同一人馬で同じ競技に2回以上、エントリーすることはできません。</t>
    <phoneticPr fontId="4"/>
  </si>
  <si>
    <t>エントリー料金</t>
    <rPh sb="5" eb="7">
      <t>リョウキン</t>
    </rPh>
    <phoneticPr fontId="4"/>
  </si>
  <si>
    <t>変更手数料</t>
    <rPh sb="0" eb="2">
      <t>ヘンコウ</t>
    </rPh>
    <rPh sb="2" eb="5">
      <t>テスウリョウ</t>
    </rPh>
    <phoneticPr fontId="4"/>
  </si>
  <si>
    <t>差額</t>
    <rPh sb="0" eb="2">
      <t>サガク</t>
    </rPh>
    <phoneticPr fontId="4"/>
  </si>
  <si>
    <t>変更料金</t>
    <rPh sb="0" eb="2">
      <t>ヘンコウ</t>
    </rPh>
    <rPh sb="2" eb="4">
      <t>リョウキン</t>
    </rPh>
    <phoneticPr fontId="4"/>
  </si>
  <si>
    <t>通信</t>
    <rPh sb="0" eb="2">
      <t>ツウシン</t>
    </rPh>
    <phoneticPr fontId="4"/>
  </si>
  <si>
    <t>* 万一、未成年の選手が落馬し、保護者が不在で、委任状の提出がない場合、その後、大会期間中、再騎乗は認められません。その後の競技へのエントリーがある場合は、棄権扱いとなります。</t>
    <rPh sb="38" eb="39">
      <t>ゴ</t>
    </rPh>
    <rPh sb="60" eb="61">
      <t>ゴ</t>
    </rPh>
    <phoneticPr fontId="4"/>
  </si>
  <si>
    <t>* 落馬は競技中・競技場内に限りません。競技場・準備運動場・通路等、御殿場市馬術・スポーツセンター敷地内でのすべての落馬に適用されます。</t>
    <rPh sb="2" eb="4">
      <t>ラクバ</t>
    </rPh>
    <rPh sb="5" eb="8">
      <t>キョウギチュウ</t>
    </rPh>
    <phoneticPr fontId="4"/>
  </si>
  <si>
    <t>* 印刷して、日付、選手名、保護者名(自署)を記入し、捺印してください。エントリー後、日本社会人団体馬術連盟 事務局まで郵送、または打ち合わせ会 会場で提出してください。</t>
    <rPh sb="41" eb="42">
      <t>ゴ</t>
    </rPh>
    <phoneticPr fontId="4"/>
  </si>
  <si>
    <t>エントリー締切前</t>
    <rPh sb="5" eb="7">
      <t>シメキリ</t>
    </rPh>
    <rPh sb="7" eb="8">
      <t>マエ</t>
    </rPh>
    <phoneticPr fontId="4"/>
  </si>
  <si>
    <t>変更受付期間 以降</t>
    <rPh sb="0" eb="2">
      <t>ヘンコウ</t>
    </rPh>
    <rPh sb="2" eb="4">
      <t>ウケツケ</t>
    </rPh>
    <rPh sb="4" eb="6">
      <t>キカン</t>
    </rPh>
    <rPh sb="7" eb="9">
      <t>イコウ</t>
    </rPh>
    <phoneticPr fontId="4"/>
  </si>
  <si>
    <t>変更受付期間 (エントリー締め切り後)</t>
    <rPh sb="0" eb="2">
      <t>ヘンコウ</t>
    </rPh>
    <rPh sb="2" eb="4">
      <t>ウケツケ</t>
    </rPh>
    <rPh sb="4" eb="6">
      <t>キカン</t>
    </rPh>
    <rPh sb="13" eb="14">
      <t>シ</t>
    </rPh>
    <rPh sb="15" eb="16">
      <t>キ</t>
    </rPh>
    <rPh sb="17" eb="18">
      <t>ゴ</t>
    </rPh>
    <phoneticPr fontId="4"/>
  </si>
  <si>
    <t>AM・PM</t>
  </si>
  <si>
    <t>印刷して提出してください。</t>
    <rPh sb="0" eb="2">
      <t>インサツ</t>
    </rPh>
    <rPh sb="4" eb="6">
      <t>テイシュツ</t>
    </rPh>
    <phoneticPr fontId="4"/>
  </si>
  <si>
    <t>開催期間</t>
    <rPh sb="0" eb="2">
      <t>カイサイ</t>
    </rPh>
    <rPh sb="2" eb="4">
      <t>キカン</t>
    </rPh>
    <phoneticPr fontId="4"/>
  </si>
  <si>
    <t>エントリー締切</t>
    <rPh sb="5" eb="7">
      <t>シメキリ</t>
    </rPh>
    <phoneticPr fontId="4"/>
  </si>
  <si>
    <t>変更受付開始</t>
    <rPh sb="0" eb="2">
      <t>ヘンコウ</t>
    </rPh>
    <rPh sb="2" eb="4">
      <t>ウケツケ</t>
    </rPh>
    <rPh sb="4" eb="6">
      <t>カイシ</t>
    </rPh>
    <phoneticPr fontId="4"/>
  </si>
  <si>
    <t>変更受付終了</t>
    <rPh sb="0" eb="2">
      <t>ヘンコウ</t>
    </rPh>
    <rPh sb="2" eb="4">
      <t>ウケツケ</t>
    </rPh>
    <rPh sb="4" eb="6">
      <t>シュウリョウ</t>
    </rPh>
    <phoneticPr fontId="4"/>
  </si>
  <si>
    <t>打ち合わせ会</t>
    <rPh sb="0" eb="1">
      <t>ウ</t>
    </rPh>
    <rPh sb="2" eb="3">
      <t>ア</t>
    </rPh>
    <rPh sb="5" eb="6">
      <t>カイ</t>
    </rPh>
    <phoneticPr fontId="4"/>
  </si>
  <si>
    <t>開催日1</t>
    <rPh sb="0" eb="3">
      <t>カイサイビ</t>
    </rPh>
    <phoneticPr fontId="4"/>
  </si>
  <si>
    <t>開催日2</t>
    <rPh sb="0" eb="3">
      <t>カイサイビ</t>
    </rPh>
    <phoneticPr fontId="4"/>
  </si>
  <si>
    <t>開催日3</t>
    <rPh sb="0" eb="3">
      <t>カイサイビ</t>
    </rPh>
    <phoneticPr fontId="4"/>
  </si>
  <si>
    <t>開催日4</t>
    <rPh sb="0" eb="3">
      <t>カイサイビ</t>
    </rPh>
    <phoneticPr fontId="4"/>
  </si>
  <si>
    <t>ホースマネージャー棟宿泊料</t>
    <rPh sb="9" eb="10">
      <t>トウ</t>
    </rPh>
    <rPh sb="10" eb="13">
      <t>シュクハクリョウ</t>
    </rPh>
    <phoneticPr fontId="4"/>
  </si>
  <si>
    <t>・ 同一団体の出場の順番についてはエントリーシートの記載順を基本とします。</t>
    <phoneticPr fontId="4"/>
  </si>
  <si>
    <t xml:space="preserve">■ 申込書送付先： </t>
    <rPh sb="2" eb="5">
      <t>モウシコミショ</t>
    </rPh>
    <rPh sb="5" eb="8">
      <t>ソウフサキ</t>
    </rPh>
    <phoneticPr fontId="4"/>
  </si>
  <si>
    <t>競技一覧!$P$5:$P$50</t>
    <phoneticPr fontId="4"/>
  </si>
  <si>
    <t>変更手数料(変更期間中)</t>
    <rPh sb="0" eb="2">
      <t>ヘンコウ</t>
    </rPh>
    <rPh sb="2" eb="5">
      <t>テスウリョウ</t>
    </rPh>
    <rPh sb="6" eb="8">
      <t>ヘンコウ</t>
    </rPh>
    <rPh sb="8" eb="11">
      <t>キカンチュウ</t>
    </rPh>
    <phoneticPr fontId="4"/>
  </si>
  <si>
    <t>変更手数料(変更期間後)</t>
    <rPh sb="0" eb="2">
      <t>ヘンコウ</t>
    </rPh>
    <rPh sb="2" eb="5">
      <t>テスウリョウ</t>
    </rPh>
    <rPh sb="6" eb="8">
      <t>ヘンコウ</t>
    </rPh>
    <rPh sb="8" eb="10">
      <t>キカン</t>
    </rPh>
    <rPh sb="10" eb="11">
      <t>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</si>
</sst>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176" formatCode="yyyy&quot;年&quot;m&quot;月&quot;d&quot;日&quot;;@"/>
    <numFmt numFmtId="177" formatCode="0\ &quot;頭&quot;"/>
    <numFmt numFmtId="178" formatCode="0\ &quot;エントリ&quot;"/>
    <numFmt numFmtId="179" formatCode="0&quot;年&quot;"/>
    <numFmt numFmtId="180" formatCode="0&quot;月&quot;"/>
    <numFmt numFmtId="181" formatCode="0&quot;日&quot;"/>
    <numFmt numFmtId="182" formatCode="0&quot;時&quot;"/>
    <numFmt numFmtId="183" formatCode="#,###\ &quot;円/頭&quot;"/>
    <numFmt numFmtId="184" formatCode="#,###&quot;円&quot;"/>
    <numFmt numFmtId="185" formatCode="[$-F800]dddd\,\ mmmm\ dd\,\ yyyy"/>
  </numFmts>
  <fonts count="26" x14ac:knownFonts="1">
    <font>
      <sz val="11"/>
      <color theme="1"/>
      <name val="游ゴシック"/>
      <family val="2"/>
      <scheme val="minor"/>
    </font>
    <font>
      <sz val="11"/>
      <color theme="1"/>
      <name val="游ゴシック"/>
      <family val="2"/>
      <scheme val="minor"/>
    </font>
    <font>
      <sz val="18"/>
      <color theme="3"/>
      <name val="游ゴシック Light"/>
      <family val="2"/>
      <charset val="128"/>
      <scheme val="major"/>
    </font>
    <font>
      <b/>
      <sz val="11"/>
      <color theme="3"/>
      <name val="游ゴシック"/>
      <family val="2"/>
      <charset val="128"/>
      <scheme val="minor"/>
    </font>
    <font>
      <sz val="6"/>
      <name val="游ゴシック"/>
      <family val="3"/>
      <charset val="128"/>
      <scheme val="minor"/>
    </font>
    <font>
      <sz val="11"/>
      <name val="游ゴシック"/>
      <family val="3"/>
      <charset val="128"/>
      <scheme val="minor"/>
    </font>
    <font>
      <sz val="6"/>
      <name val="ＭＳ Ｐゴシック"/>
      <family val="3"/>
      <charset val="128"/>
    </font>
    <font>
      <sz val="10"/>
      <color theme="1"/>
      <name val="游ゴシック"/>
      <family val="2"/>
      <scheme val="minor"/>
    </font>
    <font>
      <sz val="10"/>
      <color theme="1"/>
      <name val="游ゴシック"/>
      <family val="3"/>
      <charset val="128"/>
      <scheme val="minor"/>
    </font>
    <font>
      <sz val="9"/>
      <color theme="1"/>
      <name val="游ゴシック"/>
      <family val="3"/>
      <charset val="128"/>
      <scheme val="minor"/>
    </font>
    <font>
      <sz val="9"/>
      <color theme="1"/>
      <name val="游ゴシック"/>
      <family val="2"/>
      <scheme val="minor"/>
    </font>
    <font>
      <sz val="12"/>
      <color theme="1"/>
      <name val="游ゴシック"/>
      <family val="2"/>
      <scheme val="minor"/>
    </font>
    <font>
      <b/>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5"/>
      <color rgb="FF000000"/>
      <name val="游ゴシック"/>
      <family val="3"/>
      <charset val="128"/>
      <scheme val="minor"/>
    </font>
    <font>
      <sz val="14"/>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4"/>
      <color theme="1"/>
      <name val="游ゴシック"/>
      <family val="2"/>
      <scheme val="minor"/>
    </font>
    <font>
      <b/>
      <u/>
      <sz val="11"/>
      <color theme="1"/>
      <name val="游ゴシック"/>
      <family val="3"/>
      <charset val="128"/>
      <scheme val="minor"/>
    </font>
    <font>
      <sz val="9"/>
      <color theme="1"/>
      <name val="Segoe UI Symbol"/>
      <family val="2"/>
    </font>
    <font>
      <sz val="11"/>
      <name val="游ゴシック"/>
      <family val="2"/>
      <scheme val="minor"/>
    </font>
    <font>
      <sz val="12"/>
      <name val="游ゴシック"/>
      <family val="2"/>
      <scheme val="minor"/>
    </font>
    <font>
      <b/>
      <sz val="11"/>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25">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thin">
        <color auto="1"/>
      </top>
      <bottom/>
      <diagonal/>
    </border>
    <border>
      <left style="medium">
        <color auto="1"/>
      </left>
      <right style="hair">
        <color auto="1"/>
      </right>
      <top/>
      <bottom/>
      <diagonal/>
    </border>
    <border>
      <left style="medium">
        <color auto="1"/>
      </left>
      <right style="hair">
        <color auto="1"/>
      </right>
      <top/>
      <bottom style="thin">
        <color auto="1"/>
      </bottom>
      <diagonal/>
    </border>
    <border>
      <left style="medium">
        <color auto="1"/>
      </left>
      <right style="hair">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hair">
        <color auto="1"/>
      </left>
      <right style="hair">
        <color auto="1"/>
      </right>
      <top/>
      <bottom/>
      <diagonal/>
    </border>
    <border>
      <left style="hair">
        <color auto="1"/>
      </left>
      <right style="medium">
        <color auto="1"/>
      </right>
      <top/>
      <bottom/>
      <diagonal/>
    </border>
    <border>
      <left style="medium">
        <color auto="1"/>
      </left>
      <right style="thin">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hair">
        <color auto="1"/>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medium">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top style="thin">
        <color auto="1"/>
      </top>
      <bottom/>
      <diagonal/>
    </border>
    <border>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right/>
      <top/>
      <bottom style="medium">
        <color auto="1"/>
      </bottom>
      <diagonal/>
    </border>
    <border>
      <left/>
      <right style="hair">
        <color auto="1"/>
      </right>
      <top/>
      <bottom style="medium">
        <color auto="1"/>
      </bottom>
      <diagonal/>
    </border>
    <border>
      <left/>
      <right/>
      <top style="thin">
        <color auto="1"/>
      </top>
      <bottom style="double">
        <color auto="1"/>
      </bottom>
      <diagonal/>
    </border>
    <border>
      <left/>
      <right/>
      <top style="double">
        <color auto="1"/>
      </top>
      <bottom style="medium">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2">
    <xf numFmtId="0" fontId="0" fillId="0" borderId="0"/>
    <xf numFmtId="0" fontId="1" fillId="0" borderId="0"/>
  </cellStyleXfs>
  <cellXfs count="446">
    <xf numFmtId="0" fontId="0" fillId="0" borderId="0" xfId="0"/>
    <xf numFmtId="0" fontId="0" fillId="0" borderId="0" xfId="0" applyAlignment="1">
      <alignment horizontal="center" vertical="center"/>
    </xf>
    <xf numFmtId="0" fontId="0" fillId="0" borderId="4" xfId="0" applyBorder="1" applyAlignment="1">
      <alignment horizontal="center" vertical="center"/>
    </xf>
    <xf numFmtId="0" fontId="0" fillId="0" borderId="4" xfId="0" applyBorder="1"/>
    <xf numFmtId="0" fontId="0" fillId="0" borderId="5" xfId="0" applyBorder="1"/>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xf numFmtId="0" fontId="0" fillId="0" borderId="10" xfId="0" applyBorder="1"/>
    <xf numFmtId="0" fontId="0" fillId="0" borderId="7" xfId="0" applyBorder="1" applyAlignment="1">
      <alignment horizontal="center" vertical="center"/>
    </xf>
    <xf numFmtId="0" fontId="0" fillId="0" borderId="7" xfId="0" applyBorder="1"/>
    <xf numFmtId="0" fontId="0" fillId="0" borderId="8" xfId="0" applyBorder="1"/>
    <xf numFmtId="0" fontId="0" fillId="0" borderId="16" xfId="0" applyBorder="1" applyAlignment="1">
      <alignment horizontal="right" vertical="center"/>
    </xf>
    <xf numFmtId="0" fontId="0" fillId="0" borderId="19" xfId="0" applyBorder="1"/>
    <xf numFmtId="0" fontId="0" fillId="0" borderId="21" xfId="0" applyBorder="1"/>
    <xf numFmtId="0" fontId="0" fillId="0" borderId="22" xfId="0" applyBorder="1"/>
    <xf numFmtId="0" fontId="0" fillId="0" borderId="23" xfId="0" applyBorder="1"/>
    <xf numFmtId="0" fontId="0" fillId="0" borderId="28" xfId="0" applyBorder="1" applyAlignment="1">
      <alignment horizontal="right" vertical="center"/>
    </xf>
    <xf numFmtId="0" fontId="0" fillId="0" borderId="21" xfId="0" applyBorder="1" applyAlignment="1">
      <alignment horizontal="center" vertical="center"/>
    </xf>
    <xf numFmtId="0" fontId="0" fillId="0" borderId="31" xfId="0" applyBorder="1"/>
    <xf numFmtId="0" fontId="0" fillId="0" borderId="32" xfId="0" applyBorder="1"/>
    <xf numFmtId="0" fontId="0" fillId="0" borderId="33" xfId="0" applyBorder="1"/>
    <xf numFmtId="0" fontId="0" fillId="0" borderId="35" xfId="0" applyBorder="1"/>
    <xf numFmtId="0" fontId="0" fillId="0" borderId="36" xfId="0" applyBorder="1"/>
    <xf numFmtId="0" fontId="0" fillId="0" borderId="38" xfId="0" applyBorder="1"/>
    <xf numFmtId="0" fontId="0" fillId="0" borderId="39" xfId="0" applyBorder="1"/>
    <xf numFmtId="0" fontId="0" fillId="0" borderId="15" xfId="0" applyBorder="1" applyAlignment="1">
      <alignment vertical="center"/>
    </xf>
    <xf numFmtId="0" fontId="0" fillId="0" borderId="15" xfId="0" applyBorder="1" applyAlignment="1">
      <alignment horizontal="center" vertical="center"/>
    </xf>
    <xf numFmtId="0" fontId="0" fillId="0" borderId="0" xfId="0" applyAlignment="1"/>
    <xf numFmtId="0" fontId="0" fillId="0" borderId="16" xfId="0" applyBorder="1"/>
    <xf numFmtId="0" fontId="10" fillId="0" borderId="0" xfId="0" applyFont="1"/>
    <xf numFmtId="0" fontId="0" fillId="0" borderId="17" xfId="0" applyBorder="1" applyAlignment="1">
      <alignment horizontal="center" vertical="center"/>
    </xf>
    <xf numFmtId="0" fontId="0" fillId="0" borderId="0" xfId="0" applyFont="1" applyBorder="1" applyAlignment="1"/>
    <xf numFmtId="0" fontId="10" fillId="0" borderId="17" xfId="0" applyFont="1" applyBorder="1" applyAlignment="1">
      <alignment horizontal="center" vertical="center" wrapText="1"/>
    </xf>
    <xf numFmtId="0" fontId="0" fillId="0" borderId="0" xfId="0" applyBorder="1" applyAlignment="1">
      <alignment horizontal="center" vertical="center"/>
    </xf>
    <xf numFmtId="0" fontId="0" fillId="0" borderId="0" xfId="0" applyBorder="1"/>
    <xf numFmtId="0" fontId="7"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1" xfId="0" applyFont="1" applyBorder="1" applyAlignment="1">
      <alignment horizontal="center" vertical="center"/>
    </xf>
    <xf numFmtId="0" fontId="0" fillId="0" borderId="41" xfId="0" applyBorder="1" applyAlignment="1">
      <alignment horizontal="center"/>
    </xf>
    <xf numFmtId="0" fontId="0" fillId="0" borderId="35" xfId="0" applyBorder="1" applyAlignment="1">
      <alignment horizontal="center"/>
    </xf>
    <xf numFmtId="0" fontId="0" fillId="0" borderId="42" xfId="0" applyBorder="1" applyAlignment="1">
      <alignment horizontal="center"/>
    </xf>
    <xf numFmtId="0" fontId="0" fillId="0" borderId="35" xfId="0" applyBorder="1" applyAlignment="1">
      <alignment horizontal="right"/>
    </xf>
    <xf numFmtId="0" fontId="0" fillId="0" borderId="35" xfId="0" applyBorder="1" applyAlignment="1">
      <alignment horizontal="center" vertical="center"/>
    </xf>
    <xf numFmtId="0" fontId="0" fillId="0" borderId="38" xfId="0" applyBorder="1" applyAlignment="1">
      <alignment horizontal="center" vertical="center"/>
    </xf>
    <xf numFmtId="0" fontId="11" fillId="0" borderId="0" xfId="0" applyFont="1" applyAlignment="1">
      <alignment horizontal="center" vertical="center" wrapText="1"/>
    </xf>
    <xf numFmtId="0" fontId="12" fillId="0" borderId="0" xfId="0" applyFont="1"/>
    <xf numFmtId="0" fontId="13" fillId="0" borderId="0" xfId="0" applyFont="1" applyAlignment="1">
      <alignment horizontal="center" vertical="center"/>
    </xf>
    <xf numFmtId="0" fontId="0" fillId="0" borderId="22" xfId="0" applyBorder="1" applyAlignment="1">
      <alignment vertical="center"/>
    </xf>
    <xf numFmtId="0" fontId="0" fillId="0" borderId="22" xfId="0" applyBorder="1" applyAlignment="1">
      <alignment horizontal="center" vertical="center"/>
    </xf>
    <xf numFmtId="0" fontId="0" fillId="0" borderId="3" xfId="0" applyBorder="1" applyAlignment="1">
      <alignment vertical="center"/>
    </xf>
    <xf numFmtId="0" fontId="0" fillId="0" borderId="54" xfId="0" applyBorder="1" applyAlignment="1">
      <alignment horizontal="center" vertical="center"/>
    </xf>
    <xf numFmtId="0" fontId="0" fillId="0" borderId="54" xfId="0" applyBorder="1"/>
    <xf numFmtId="0" fontId="0" fillId="0" borderId="55" xfId="0" applyBorder="1"/>
    <xf numFmtId="0" fontId="5" fillId="0" borderId="4" xfId="0" applyFont="1" applyFill="1" applyBorder="1" applyAlignment="1">
      <alignment vertical="center"/>
    </xf>
    <xf numFmtId="0" fontId="5" fillId="0" borderId="9" xfId="0" applyFont="1" applyFill="1" applyBorder="1" applyAlignment="1">
      <alignment vertical="center"/>
    </xf>
    <xf numFmtId="0" fontId="5" fillId="0" borderId="7" xfId="0" applyFont="1" applyFill="1" applyBorder="1" applyAlignment="1">
      <alignment vertical="center"/>
    </xf>
    <xf numFmtId="0" fontId="5" fillId="0" borderId="54" xfId="0" applyFont="1" applyFill="1" applyBorder="1" applyAlignment="1">
      <alignment vertical="center"/>
    </xf>
    <xf numFmtId="0" fontId="5" fillId="0" borderId="35" xfId="0" applyFont="1" applyFill="1" applyBorder="1" applyAlignment="1">
      <alignment vertical="center"/>
    </xf>
    <xf numFmtId="0" fontId="9" fillId="0" borderId="7" xfId="0" applyFont="1" applyBorder="1" applyAlignment="1">
      <alignment horizontal="center" vertical="center" wrapText="1"/>
    </xf>
    <xf numFmtId="0" fontId="10" fillId="0" borderId="7" xfId="0" applyFont="1" applyBorder="1"/>
    <xf numFmtId="0" fontId="16" fillId="0" borderId="9" xfId="0" applyFont="1" applyBorder="1"/>
    <xf numFmtId="0" fontId="16" fillId="0" borderId="7" xfId="0" applyFont="1" applyBorder="1"/>
    <xf numFmtId="0" fontId="9" fillId="0" borderId="7" xfId="0" applyFont="1" applyBorder="1"/>
    <xf numFmtId="0" fontId="7" fillId="0" borderId="8" xfId="0" applyFont="1" applyBorder="1"/>
    <xf numFmtId="0" fontId="0" fillId="0" borderId="17" xfId="0" applyBorder="1" applyAlignment="1">
      <alignment horizontal="center" vertical="center" wrapText="1"/>
    </xf>
    <xf numFmtId="0" fontId="13" fillId="0" borderId="0" xfId="0" applyFont="1" applyAlignment="1">
      <alignment horizontal="right" vertical="center"/>
    </xf>
    <xf numFmtId="0" fontId="5" fillId="0" borderId="38" xfId="0" applyFont="1" applyFill="1" applyBorder="1" applyAlignment="1">
      <alignment vertical="center"/>
    </xf>
    <xf numFmtId="0" fontId="0" fillId="0" borderId="0" xfId="0" applyAlignment="1">
      <alignment horizontal="right" vertical="center"/>
    </xf>
    <xf numFmtId="0" fontId="7" fillId="0" borderId="0" xfId="0" applyFont="1" applyAlignment="1">
      <alignment vertical="center"/>
    </xf>
    <xf numFmtId="0" fontId="7" fillId="0" borderId="55" xfId="0" applyFont="1" applyBorder="1"/>
    <xf numFmtId="0" fontId="7" fillId="0" borderId="36" xfId="0" applyFont="1" applyBorder="1"/>
    <xf numFmtId="176" fontId="0" fillId="0" borderId="40" xfId="0" applyNumberFormat="1" applyBorder="1" applyAlignment="1">
      <alignment horizontal="center" vertical="center"/>
    </xf>
    <xf numFmtId="0" fontId="0" fillId="0" borderId="15" xfId="0" applyBorder="1" applyAlignment="1">
      <alignment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0" xfId="0" applyAlignment="1"/>
    <xf numFmtId="176" fontId="0" fillId="0" borderId="40" xfId="0" applyNumberFormat="1" applyBorder="1" applyAlignment="1">
      <alignment horizontal="center" vertical="center"/>
    </xf>
    <xf numFmtId="0" fontId="0" fillId="0" borderId="0" xfId="0" applyAlignment="1">
      <alignment wrapText="1"/>
    </xf>
    <xf numFmtId="0" fontId="0" fillId="0" borderId="15" xfId="0" applyBorder="1" applyAlignment="1">
      <alignment vertical="center" shrinkToFit="1"/>
    </xf>
    <xf numFmtId="0" fontId="0" fillId="0" borderId="22" xfId="0" applyBorder="1" applyAlignment="1">
      <alignment vertical="center" shrinkToFit="1"/>
    </xf>
    <xf numFmtId="0" fontId="0" fillId="0" borderId="59" xfId="0" applyBorder="1"/>
    <xf numFmtId="0" fontId="0" fillId="0" borderId="41" xfId="0" applyBorder="1" applyAlignment="1" applyProtection="1">
      <alignment vertical="center"/>
      <protection locked="0"/>
    </xf>
    <xf numFmtId="0" fontId="0" fillId="0" borderId="35" xfId="0" applyBorder="1" applyAlignment="1" applyProtection="1">
      <alignment vertical="center"/>
      <protection locked="0"/>
    </xf>
    <xf numFmtId="0" fontId="0" fillId="0" borderId="35"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3" xfId="0" applyBorder="1" applyAlignment="1" applyProtection="1">
      <alignment vertical="center"/>
      <protection locked="0"/>
    </xf>
    <xf numFmtId="0" fontId="0" fillId="0" borderId="38" xfId="0" applyBorder="1" applyAlignment="1" applyProtection="1">
      <alignment vertical="center"/>
      <protection locked="0"/>
    </xf>
    <xf numFmtId="0" fontId="0" fillId="0" borderId="3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1" xfId="0" applyBorder="1" applyAlignment="1" applyProtection="1">
      <alignment horizontal="right"/>
      <protection locked="0"/>
    </xf>
    <xf numFmtId="0" fontId="0" fillId="0" borderId="35" xfId="0" applyBorder="1" applyAlignment="1" applyProtection="1">
      <alignment horizontal="right"/>
      <protection locked="0"/>
    </xf>
    <xf numFmtId="0" fontId="0" fillId="0" borderId="42" xfId="0" applyBorder="1" applyAlignment="1" applyProtection="1">
      <alignment horizontal="right"/>
      <protection locked="0"/>
    </xf>
    <xf numFmtId="0" fontId="0" fillId="0" borderId="20" xfId="0" applyBorder="1" applyProtection="1">
      <protection locked="0"/>
    </xf>
    <xf numFmtId="0" fontId="0" fillId="0" borderId="23" xfId="0" applyBorder="1" applyProtection="1">
      <protection locked="0"/>
    </xf>
    <xf numFmtId="0" fontId="0" fillId="0" borderId="15" xfId="0" applyBorder="1"/>
    <xf numFmtId="0" fontId="0" fillId="0" borderId="15" xfId="0" applyBorder="1" applyAlignment="1">
      <alignment horizontal="center" vertical="center" wrapText="1"/>
    </xf>
    <xf numFmtId="0" fontId="0" fillId="0" borderId="0" xfId="0" applyAlignment="1">
      <alignment vertical="center"/>
    </xf>
    <xf numFmtId="0" fontId="0" fillId="0" borderId="40" xfId="0" applyBorder="1" applyAlignment="1">
      <alignment vertical="center"/>
    </xf>
    <xf numFmtId="0" fontId="0" fillId="0" borderId="64" xfId="0" applyBorder="1" applyAlignment="1">
      <alignment vertical="center"/>
    </xf>
    <xf numFmtId="0" fontId="11" fillId="0" borderId="0" xfId="0" applyFont="1" applyAlignment="1">
      <alignment vertical="center"/>
    </xf>
    <xf numFmtId="0" fontId="0" fillId="0" borderId="64" xfId="0" applyBorder="1" applyAlignment="1">
      <alignment horizontal="center" vertical="center"/>
    </xf>
    <xf numFmtId="179" fontId="0" fillId="0" borderId="0" xfId="0" applyNumberFormat="1" applyAlignment="1">
      <alignment horizontal="right" vertical="center"/>
    </xf>
    <xf numFmtId="181" fontId="0" fillId="0" borderId="0" xfId="0" applyNumberFormat="1" applyAlignment="1">
      <alignment horizontal="right" vertical="center"/>
    </xf>
    <xf numFmtId="182" fontId="0" fillId="0" borderId="0" xfId="0" applyNumberFormat="1" applyAlignment="1">
      <alignment horizontal="center" vertical="center"/>
    </xf>
    <xf numFmtId="180" fontId="0" fillId="0" borderId="0" xfId="0" applyNumberFormat="1" applyAlignment="1">
      <alignment horizontal="right" vertical="center"/>
    </xf>
    <xf numFmtId="0" fontId="7" fillId="0" borderId="0" xfId="0" applyFont="1"/>
    <xf numFmtId="0" fontId="9" fillId="0" borderId="0" xfId="0" applyFont="1"/>
    <xf numFmtId="0" fontId="0" fillId="0" borderId="0" xfId="0" applyFill="1" applyBorder="1" applyAlignment="1">
      <alignment horizontal="center" vertical="center"/>
    </xf>
    <xf numFmtId="0" fontId="0" fillId="0" borderId="68" xfId="0" applyFill="1" applyBorder="1" applyAlignment="1">
      <alignment horizontal="center" vertical="center"/>
    </xf>
    <xf numFmtId="0" fontId="0" fillId="0" borderId="69" xfId="0" applyBorder="1"/>
    <xf numFmtId="0" fontId="0" fillId="0" borderId="70" xfId="0" applyBorder="1"/>
    <xf numFmtId="0" fontId="0" fillId="0" borderId="0" xfId="0" applyFont="1" applyBorder="1" applyAlignment="1">
      <alignment horizontal="right" vertical="center"/>
    </xf>
    <xf numFmtId="0" fontId="0" fillId="0" borderId="69" xfId="0" applyBorder="1" applyAlignment="1">
      <alignment vertical="center"/>
    </xf>
    <xf numFmtId="0" fontId="0" fillId="0" borderId="70" xfId="0" applyBorder="1" applyAlignment="1">
      <alignment vertical="center"/>
    </xf>
    <xf numFmtId="0" fontId="7" fillId="0" borderId="0" xfId="0" applyFont="1" applyAlignment="1">
      <alignment horizontal="center" vertical="center"/>
    </xf>
    <xf numFmtId="176" fontId="9" fillId="0" borderId="0" xfId="0" applyNumberFormat="1" applyFont="1"/>
    <xf numFmtId="0" fontId="0" fillId="0" borderId="0" xfId="0" applyAlignment="1">
      <alignment horizontal="left" vertical="center"/>
    </xf>
    <xf numFmtId="0" fontId="0" fillId="0" borderId="0" xfId="0" applyAlignment="1">
      <alignment vertical="center" wrapText="1"/>
    </xf>
    <xf numFmtId="0" fontId="0" fillId="0" borderId="76" xfId="0" applyBorder="1"/>
    <xf numFmtId="0" fontId="0" fillId="0" borderId="77" xfId="0" applyBorder="1"/>
    <xf numFmtId="0" fontId="0" fillId="0" borderId="78" xfId="0" applyBorder="1"/>
    <xf numFmtId="0" fontId="0" fillId="0" borderId="79" xfId="0" applyBorder="1"/>
    <xf numFmtId="0" fontId="0" fillId="0" borderId="24" xfId="0" applyBorder="1"/>
    <xf numFmtId="0" fontId="0" fillId="0" borderId="26" xfId="0" applyBorder="1"/>
    <xf numFmtId="0" fontId="0" fillId="0" borderId="57" xfId="0" applyBorder="1"/>
    <xf numFmtId="0" fontId="0" fillId="0" borderId="50" xfId="0" applyBorder="1"/>
    <xf numFmtId="0" fontId="0" fillId="0" borderId="58" xfId="0" applyBorder="1"/>
    <xf numFmtId="176" fontId="13" fillId="0" borderId="0" xfId="0" applyNumberFormat="1" applyFont="1" applyBorder="1" applyAlignment="1" applyProtection="1">
      <alignment horizontal="center" vertical="center"/>
      <protection locked="0"/>
    </xf>
    <xf numFmtId="0" fontId="0" fillId="0" borderId="0" xfId="0" applyBorder="1" applyAlignment="1"/>
    <xf numFmtId="0" fontId="0" fillId="0" borderId="2" xfId="0" applyBorder="1" applyAlignment="1">
      <alignment vertical="center"/>
    </xf>
    <xf numFmtId="0" fontId="0" fillId="0" borderId="7" xfId="0" applyBorder="1" applyAlignment="1">
      <alignment vertical="center"/>
    </xf>
    <xf numFmtId="0" fontId="0" fillId="0" borderId="0" xfId="0" applyAlignment="1"/>
    <xf numFmtId="0" fontId="0" fillId="0" borderId="18" xfId="0" applyBorder="1" applyAlignment="1">
      <alignment horizontal="center" vertical="center" wrapText="1"/>
    </xf>
    <xf numFmtId="0" fontId="0" fillId="0" borderId="15" xfId="0" applyBorder="1" applyAlignment="1">
      <alignment horizontal="center" vertical="center"/>
    </xf>
    <xf numFmtId="0" fontId="0" fillId="0" borderId="0" xfId="0" applyAlignment="1">
      <alignment wrapText="1"/>
    </xf>
    <xf numFmtId="0" fontId="0" fillId="0" borderId="87" xfId="0" applyBorder="1"/>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41" xfId="0" applyFill="1" applyBorder="1" applyAlignment="1" applyProtection="1">
      <alignment vertical="center" shrinkToFit="1"/>
      <protection locked="0"/>
    </xf>
    <xf numFmtId="0" fontId="0" fillId="2" borderId="42" xfId="0" applyFill="1" applyBorder="1" applyAlignment="1" applyProtection="1">
      <alignment vertical="center" shrinkToFit="1"/>
      <protection locked="0"/>
    </xf>
    <xf numFmtId="0" fontId="9" fillId="2" borderId="15"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protection locked="0"/>
    </xf>
    <xf numFmtId="0" fontId="0" fillId="2" borderId="15" xfId="0" applyFill="1" applyBorder="1" applyAlignment="1" applyProtection="1">
      <alignment vertical="center" shrinkToFit="1"/>
      <protection locked="0"/>
    </xf>
    <xf numFmtId="0" fontId="0" fillId="2" borderId="20" xfId="0" applyFill="1" applyBorder="1" applyAlignment="1" applyProtection="1">
      <alignment vertical="center"/>
      <protection locked="0"/>
    </xf>
    <xf numFmtId="0" fontId="0" fillId="2" borderId="22" xfId="0" applyFill="1" applyBorder="1" applyAlignment="1" applyProtection="1">
      <alignment vertical="center" shrinkToFit="1"/>
      <protection locked="0"/>
    </xf>
    <xf numFmtId="0" fontId="0" fillId="2" borderId="23" xfId="0" applyFill="1" applyBorder="1" applyAlignment="1" applyProtection="1">
      <alignment vertical="center"/>
      <protection locked="0"/>
    </xf>
    <xf numFmtId="0" fontId="0" fillId="2" borderId="15"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0" fillId="0" borderId="54" xfId="0" applyBorder="1" applyAlignment="1">
      <alignment vertical="center"/>
    </xf>
    <xf numFmtId="0" fontId="0" fillId="0" borderId="54" xfId="0" applyBorder="1" applyAlignment="1">
      <alignment vertical="center" wrapText="1"/>
    </xf>
    <xf numFmtId="0" fontId="13" fillId="0" borderId="40" xfId="0" applyFont="1" applyBorder="1" applyAlignment="1">
      <alignment vertical="center"/>
    </xf>
    <xf numFmtId="0" fontId="19" fillId="0" borderId="0" xfId="0" applyFont="1" applyAlignment="1">
      <alignment horizontal="center" vertical="center"/>
    </xf>
    <xf numFmtId="0" fontId="0" fillId="0" borderId="15" xfId="0" applyBorder="1" applyAlignment="1"/>
    <xf numFmtId="0" fontId="0" fillId="0" borderId="102" xfId="0" applyBorder="1"/>
    <xf numFmtId="0" fontId="0" fillId="0" borderId="103" xfId="0" applyBorder="1"/>
    <xf numFmtId="0" fontId="7" fillId="0" borderId="104" xfId="0" applyFont="1" applyBorder="1" applyAlignment="1">
      <alignment vertical="center"/>
    </xf>
    <xf numFmtId="0" fontId="7" fillId="0" borderId="105" xfId="0" applyFont="1" applyBorder="1" applyAlignment="1">
      <alignment vertical="center"/>
    </xf>
    <xf numFmtId="0" fontId="7" fillId="0" borderId="106" xfId="0" applyFont="1" applyBorder="1" applyAlignment="1">
      <alignment vertical="center"/>
    </xf>
    <xf numFmtId="0" fontId="7" fillId="0" borderId="107" xfId="0" applyFont="1" applyBorder="1" applyAlignment="1">
      <alignment vertical="center"/>
    </xf>
    <xf numFmtId="0" fontId="7" fillId="0" borderId="108" xfId="0" applyFont="1" applyBorder="1" applyAlignment="1">
      <alignment vertical="center"/>
    </xf>
    <xf numFmtId="0" fontId="7" fillId="0" borderId="109" xfId="0" applyFont="1" applyBorder="1" applyAlignment="1">
      <alignment vertical="center"/>
    </xf>
    <xf numFmtId="0" fontId="0" fillId="0" borderId="104" xfId="0" applyBorder="1"/>
    <xf numFmtId="0" fontId="0" fillId="0" borderId="106" xfId="0" applyBorder="1"/>
    <xf numFmtId="0" fontId="0" fillId="0" borderId="108" xfId="0" applyBorder="1"/>
    <xf numFmtId="0" fontId="7" fillId="0" borderId="110" xfId="0" applyFont="1" applyBorder="1" applyAlignment="1">
      <alignment vertical="center"/>
    </xf>
    <xf numFmtId="0" fontId="7" fillId="0" borderId="59" xfId="0" applyFont="1" applyBorder="1" applyAlignment="1">
      <alignment vertical="center"/>
    </xf>
    <xf numFmtId="0" fontId="7" fillId="0" borderId="111" xfId="0" applyFont="1" applyBorder="1" applyAlignment="1">
      <alignment vertical="center"/>
    </xf>
    <xf numFmtId="0" fontId="0" fillId="0" borderId="110" xfId="0" applyBorder="1"/>
    <xf numFmtId="0" fontId="0" fillId="0" borderId="59" xfId="0" applyBorder="1" applyAlignment="1">
      <alignment vertical="center"/>
    </xf>
    <xf numFmtId="0" fontId="0" fillId="0" borderId="111" xfId="0" applyBorder="1"/>
    <xf numFmtId="0" fontId="0" fillId="0" borderId="112" xfId="0" applyBorder="1"/>
    <xf numFmtId="0" fontId="0" fillId="0" borderId="16" xfId="0" applyFill="1" applyBorder="1" applyAlignment="1">
      <alignment horizontal="center" vertical="center"/>
    </xf>
    <xf numFmtId="0" fontId="0" fillId="0" borderId="17" xfId="0" applyBorder="1"/>
    <xf numFmtId="0" fontId="0" fillId="0" borderId="18" xfId="0" applyBorder="1"/>
    <xf numFmtId="0" fontId="0" fillId="0" borderId="19" xfId="0" applyFill="1" applyBorder="1" applyAlignment="1">
      <alignment horizontal="center" vertical="center"/>
    </xf>
    <xf numFmtId="0" fontId="0" fillId="0" borderId="20" xfId="0" applyBorder="1"/>
    <xf numFmtId="0" fontId="0" fillId="0" borderId="21" xfId="0" applyFill="1" applyBorder="1" applyAlignment="1">
      <alignment horizontal="center" vertical="center"/>
    </xf>
    <xf numFmtId="0" fontId="0" fillId="0" borderId="68" xfId="0" applyBorder="1"/>
    <xf numFmtId="0" fontId="0" fillId="0" borderId="7" xfId="0" applyBorder="1" applyAlignment="1">
      <alignment vertical="center" wrapText="1"/>
    </xf>
    <xf numFmtId="0" fontId="0" fillId="2" borderId="34" xfId="0" applyFill="1" applyBorder="1" applyAlignment="1" applyProtection="1">
      <alignment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176" fontId="13" fillId="2" borderId="40" xfId="0" applyNumberFormat="1" applyFont="1" applyFill="1" applyBorder="1" applyAlignment="1" applyProtection="1">
      <alignment vertical="center" shrinkToFit="1"/>
      <protection locked="0"/>
    </xf>
    <xf numFmtId="0" fontId="0" fillId="0" borderId="40" xfId="0" applyBorder="1" applyAlignment="1">
      <alignment vertical="center" shrinkToFit="1"/>
    </xf>
    <xf numFmtId="176" fontId="0" fillId="0" borderId="40" xfId="0" applyNumberFormat="1" applyBorder="1" applyAlignment="1">
      <alignment horizontal="left" vertical="center" shrinkToFit="1"/>
    </xf>
    <xf numFmtId="0" fontId="0" fillId="0" borderId="15" xfId="0" applyFill="1" applyBorder="1" applyAlignment="1">
      <alignment horizontal="center" vertical="center" wrapText="1"/>
    </xf>
    <xf numFmtId="0" fontId="0" fillId="0" borderId="15" xfId="0" applyFill="1" applyBorder="1" applyAlignment="1">
      <alignment horizontal="center" vertical="center"/>
    </xf>
    <xf numFmtId="0" fontId="0" fillId="2" borderId="0" xfId="0" applyFill="1" applyBorder="1" applyAlignment="1" applyProtection="1">
      <alignment vertical="center" shrinkToFit="1"/>
      <protection locked="0"/>
    </xf>
    <xf numFmtId="0" fontId="0" fillId="0" borderId="15" xfId="0" applyFill="1" applyBorder="1"/>
    <xf numFmtId="0" fontId="0" fillId="0" borderId="15" xfId="0" applyBorder="1" applyAlignment="1">
      <alignment shrinkToFit="1"/>
    </xf>
    <xf numFmtId="178" fontId="7" fillId="0" borderId="64" xfId="0" applyNumberFormat="1" applyFont="1" applyBorder="1" applyAlignment="1">
      <alignment vertical="center" shrinkToFit="1"/>
    </xf>
    <xf numFmtId="183" fontId="0" fillId="0" borderId="16" xfId="0" applyNumberFormat="1" applyBorder="1" applyAlignment="1">
      <alignment vertical="center" shrinkToFit="1"/>
    </xf>
    <xf numFmtId="177" fontId="0" fillId="0" borderId="50" xfId="0" applyNumberFormat="1" applyBorder="1" applyAlignment="1">
      <alignment vertical="center" shrinkToFit="1"/>
    </xf>
    <xf numFmtId="5" fontId="0" fillId="0" borderId="18" xfId="0" applyNumberFormat="1" applyBorder="1" applyAlignment="1">
      <alignment vertical="center" shrinkToFit="1"/>
    </xf>
    <xf numFmtId="178" fontId="0" fillId="0" borderId="19" xfId="0" applyNumberFormat="1" applyBorder="1" applyAlignment="1">
      <alignment vertical="center" shrinkToFit="1"/>
    </xf>
    <xf numFmtId="5" fontId="0" fillId="0" borderId="20" xfId="0" applyNumberFormat="1" applyBorder="1" applyAlignment="1">
      <alignment vertical="center" shrinkToFit="1"/>
    </xf>
    <xf numFmtId="184" fontId="0" fillId="0" borderId="19" xfId="0" applyNumberFormat="1" applyBorder="1" applyAlignment="1">
      <alignment vertical="center" shrinkToFit="1"/>
    </xf>
    <xf numFmtId="0" fontId="0" fillId="0" borderId="64" xfId="0" applyNumberFormat="1" applyBorder="1" applyAlignment="1">
      <alignment vertical="center" shrinkToFit="1"/>
    </xf>
    <xf numFmtId="0" fontId="0" fillId="0" borderId="45" xfId="0" applyBorder="1" applyAlignment="1">
      <alignment vertical="center" shrinkToFit="1"/>
    </xf>
    <xf numFmtId="0" fontId="0" fillId="0" borderId="100" xfId="0" applyBorder="1" applyAlignment="1">
      <alignment vertical="center" shrinkToFit="1"/>
    </xf>
    <xf numFmtId="5" fontId="0" fillId="0" borderId="46" xfId="0" applyNumberFormat="1" applyBorder="1" applyAlignment="1">
      <alignment vertical="center" shrinkToFit="1"/>
    </xf>
    <xf numFmtId="0" fontId="0" fillId="0" borderId="47" xfId="0" applyBorder="1" applyAlignment="1">
      <alignment vertical="center" shrinkToFit="1"/>
    </xf>
    <xf numFmtId="0" fontId="0" fillId="0" borderId="101" xfId="0" applyBorder="1" applyAlignment="1">
      <alignment vertical="center" shrinkToFit="1"/>
    </xf>
    <xf numFmtId="5" fontId="0" fillId="0" borderId="48" xfId="0" applyNumberFormat="1" applyBorder="1" applyAlignment="1">
      <alignment vertical="center" shrinkToFit="1"/>
    </xf>
    <xf numFmtId="0" fontId="7" fillId="0" borderId="15" xfId="0" applyFont="1" applyBorder="1" applyAlignment="1">
      <alignment horizontal="center" vertical="center" wrapText="1"/>
    </xf>
    <xf numFmtId="0" fontId="0" fillId="0" borderId="15" xfId="0" applyBorder="1" applyAlignment="1">
      <alignment horizontal="left" vertical="center"/>
    </xf>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10" fillId="0" borderId="15" xfId="0" applyFont="1" applyBorder="1" applyAlignment="1">
      <alignment horizontal="left" vertical="center"/>
    </xf>
    <xf numFmtId="0" fontId="7" fillId="0" borderId="15" xfId="0" applyFont="1" applyBorder="1"/>
    <xf numFmtId="0" fontId="18" fillId="0" borderId="0" xfId="0" applyFont="1" applyAlignment="1">
      <alignment horizontal="left" vertical="center"/>
    </xf>
    <xf numFmtId="0" fontId="0" fillId="0" borderId="40" xfId="0" applyBorder="1" applyAlignment="1">
      <alignment horizontal="center" vertical="center"/>
    </xf>
    <xf numFmtId="0" fontId="21" fillId="0" borderId="0" xfId="0" applyFont="1"/>
    <xf numFmtId="0" fontId="0" fillId="2" borderId="0" xfId="0" applyFill="1" applyAlignment="1" applyProtection="1">
      <alignment horizontal="center" vertical="center"/>
      <protection locked="0"/>
    </xf>
    <xf numFmtId="0" fontId="9" fillId="0" borderId="0" xfId="0" applyFont="1" applyAlignment="1">
      <alignment vertical="center"/>
    </xf>
    <xf numFmtId="0" fontId="7" fillId="0" borderId="7" xfId="0" applyFont="1" applyBorder="1" applyAlignment="1">
      <alignment vertical="center" wrapText="1"/>
    </xf>
    <xf numFmtId="0" fontId="0" fillId="0" borderId="40" xfId="0" applyBorder="1" applyAlignment="1">
      <alignment horizontal="right" vertical="center" indent="1"/>
    </xf>
    <xf numFmtId="0" fontId="0" fillId="0" borderId="7" xfId="0" applyBorder="1" applyAlignment="1">
      <alignment vertical="center"/>
    </xf>
    <xf numFmtId="0" fontId="0" fillId="0" borderId="9" xfId="0" applyBorder="1" applyAlignment="1">
      <alignment vertical="center"/>
    </xf>
    <xf numFmtId="0" fontId="0" fillId="0" borderId="40" xfId="0" applyBorder="1" applyAlignment="1"/>
    <xf numFmtId="185" fontId="11" fillId="2" borderId="40" xfId="0" applyNumberFormat="1" applyFont="1" applyFill="1" applyBorder="1" applyAlignment="1" applyProtection="1">
      <alignment horizontal="center"/>
      <protection locked="0"/>
    </xf>
    <xf numFmtId="0" fontId="13" fillId="0" borderId="0" xfId="0" applyFont="1" applyBorder="1" applyAlignment="1">
      <alignment vertical="center"/>
    </xf>
    <xf numFmtId="0" fontId="23" fillId="0" borderId="0" xfId="0" applyFont="1" applyFill="1" applyBorder="1" applyAlignment="1"/>
    <xf numFmtId="185" fontId="24" fillId="0" borderId="0" xfId="0" applyNumberFormat="1" applyFont="1" applyFill="1" applyBorder="1" applyAlignment="1" applyProtection="1">
      <alignment horizontal="center"/>
      <protection locked="0"/>
    </xf>
    <xf numFmtId="0" fontId="0" fillId="2" borderId="10" xfId="0"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2" borderId="88" xfId="0" applyFill="1" applyBorder="1" applyAlignment="1" applyProtection="1">
      <alignment vertical="center"/>
      <protection locked="0"/>
    </xf>
    <xf numFmtId="0" fontId="0" fillId="2" borderId="5" xfId="0" applyFill="1" applyBorder="1" applyAlignment="1" applyProtection="1">
      <alignment vertical="center"/>
      <protection locked="0"/>
    </xf>
    <xf numFmtId="0" fontId="7" fillId="0" borderId="9" xfId="0" applyFont="1" applyBorder="1" applyAlignment="1">
      <alignment vertical="center"/>
    </xf>
    <xf numFmtId="0" fontId="7" fillId="0" borderId="7" xfId="0" applyFont="1" applyBorder="1" applyAlignment="1">
      <alignment vertical="center"/>
    </xf>
    <xf numFmtId="0" fontId="7" fillId="0" borderId="72" xfId="0" applyFont="1" applyBorder="1" applyAlignment="1">
      <alignment vertical="center"/>
    </xf>
    <xf numFmtId="0" fontId="0" fillId="0" borderId="9"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72" xfId="0" applyBorder="1" applyAlignment="1" applyProtection="1">
      <alignment vertical="center" shrinkToFit="1"/>
      <protection locked="0"/>
    </xf>
    <xf numFmtId="0" fontId="0" fillId="0" borderId="9" xfId="0" applyBorder="1" applyAlignment="1" applyProtection="1">
      <alignment vertical="center"/>
      <protection locked="0"/>
    </xf>
    <xf numFmtId="0" fontId="0" fillId="0" borderId="7" xfId="0" applyBorder="1" applyAlignment="1" applyProtection="1">
      <alignment vertical="center"/>
      <protection locked="0"/>
    </xf>
    <xf numFmtId="0" fontId="0" fillId="0" borderId="72" xfId="0" applyBorder="1" applyAlignment="1" applyProtection="1">
      <alignment vertical="center"/>
      <protection locked="0"/>
    </xf>
    <xf numFmtId="0" fontId="0" fillId="0" borderId="72" xfId="0" applyBorder="1" applyAlignment="1">
      <alignment vertical="center"/>
    </xf>
    <xf numFmtId="0" fontId="0" fillId="0" borderId="4" xfId="0" applyBorder="1" applyAlignment="1" applyProtection="1">
      <alignment vertical="center"/>
      <protection locked="0"/>
    </xf>
    <xf numFmtId="0" fontId="0" fillId="0" borderId="7" xfId="0" applyBorder="1" applyAlignment="1">
      <alignment vertical="center"/>
    </xf>
    <xf numFmtId="0" fontId="0" fillId="0" borderId="9" xfId="0" applyBorder="1" applyAlignment="1">
      <alignment vertical="center"/>
    </xf>
    <xf numFmtId="0" fontId="0" fillId="0" borderId="72" xfId="0" applyBorder="1" applyAlignment="1">
      <alignment vertical="center"/>
    </xf>
    <xf numFmtId="0" fontId="0" fillId="0" borderId="15" xfId="0" applyBorder="1" applyAlignment="1">
      <alignment vertical="center" wrapText="1"/>
    </xf>
    <xf numFmtId="0" fontId="0" fillId="0" borderId="4" xfId="0" applyBorder="1" applyAlignment="1">
      <alignment vertical="center"/>
    </xf>
    <xf numFmtId="0" fontId="0" fillId="0" borderId="15" xfId="0" applyBorder="1" applyAlignment="1">
      <alignment vertical="center"/>
    </xf>
    <xf numFmtId="0" fontId="0" fillId="2" borderId="15" xfId="0" applyFill="1" applyBorder="1" applyAlignment="1" applyProtection="1">
      <alignment vertical="center" shrinkToFit="1"/>
      <protection locked="0"/>
    </xf>
    <xf numFmtId="0" fontId="20" fillId="0" borderId="0" xfId="0" applyFont="1" applyAlignment="1">
      <alignment horizontal="left" vertical="center" wrapText="1"/>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10" fillId="0" borderId="16" xfId="0" applyFont="1" applyBorder="1" applyAlignment="1">
      <alignment horizontal="center" vertical="center"/>
    </xf>
    <xf numFmtId="0" fontId="13" fillId="0" borderId="0" xfId="0" applyFont="1" applyAlignment="1">
      <alignment vertical="center"/>
    </xf>
    <xf numFmtId="0" fontId="0" fillId="0" borderId="72" xfId="0" applyBorder="1"/>
    <xf numFmtId="0" fontId="25" fillId="0" borderId="0" xfId="0" applyFont="1"/>
    <xf numFmtId="0" fontId="0" fillId="0" borderId="69" xfId="0" applyFill="1" applyBorder="1" applyAlignment="1">
      <alignment vertical="center" shrinkToFit="1"/>
    </xf>
    <xf numFmtId="0" fontId="0" fillId="0" borderId="69" xfId="0" applyBorder="1" applyAlignment="1">
      <alignment vertical="center" shrinkToFit="1"/>
    </xf>
    <xf numFmtId="0" fontId="0" fillId="0" borderId="70" xfId="0" applyBorder="1" applyAlignment="1">
      <alignment vertical="center" shrinkToFit="1"/>
    </xf>
    <xf numFmtId="14" fontId="0" fillId="0" borderId="0" xfId="0" applyNumberFormat="1"/>
    <xf numFmtId="0" fontId="0" fillId="0" borderId="0" xfId="0" applyNumberFormat="1"/>
    <xf numFmtId="0" fontId="7" fillId="0" borderId="0" xfId="0" applyFont="1" applyBorder="1" applyAlignment="1">
      <alignment vertical="center"/>
    </xf>
    <xf numFmtId="0" fontId="0" fillId="0" borderId="15" xfId="0" applyNumberFormat="1" applyFill="1" applyBorder="1"/>
    <xf numFmtId="14" fontId="0" fillId="0" borderId="15" xfId="0" applyNumberFormat="1" applyBorder="1"/>
    <xf numFmtId="0" fontId="0" fillId="0" borderId="0" xfId="0" applyAlignment="1">
      <alignment horizontal="right"/>
    </xf>
    <xf numFmtId="0" fontId="0" fillId="0" borderId="64" xfId="0" applyFill="1" applyBorder="1" applyAlignment="1" applyProtection="1">
      <alignment vertical="center"/>
    </xf>
    <xf numFmtId="0" fontId="10" fillId="0" borderId="0" xfId="0" applyFont="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21" fillId="0" borderId="0" xfId="0" applyFont="1" applyAlignment="1">
      <alignment horizontal="center" vertical="center"/>
    </xf>
    <xf numFmtId="0" fontId="0" fillId="0" borderId="89" xfId="0" applyBorder="1" applyAlignment="1">
      <alignment horizontal="center" vertical="center"/>
    </xf>
    <xf numFmtId="0" fontId="0" fillId="0" borderId="96"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40" xfId="0" applyBorder="1" applyAlignment="1">
      <alignment horizontal="center" vertical="center"/>
    </xf>
    <xf numFmtId="0" fontId="0" fillId="0" borderId="95"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7" fillId="0" borderId="98" xfId="0" applyFont="1" applyBorder="1" applyAlignment="1">
      <alignment horizontal="right"/>
    </xf>
    <xf numFmtId="0" fontId="8" fillId="0" borderId="98" xfId="0" applyFont="1" applyBorder="1" applyAlignment="1">
      <alignment horizontal="right"/>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54" xfId="0" applyBorder="1" applyAlignment="1">
      <alignment horizontal="center" vertical="center"/>
    </xf>
    <xf numFmtId="0" fontId="0" fillId="0" borderId="90" xfId="0" applyBorder="1" applyAlignment="1">
      <alignment horizontal="center" vertical="center"/>
    </xf>
    <xf numFmtId="0" fontId="0" fillId="0" borderId="81" xfId="0" applyBorder="1" applyAlignment="1">
      <alignment horizontal="center" vertical="center"/>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2" xfId="0"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7" fillId="0" borderId="2" xfId="0" applyFont="1" applyBorder="1" applyAlignment="1">
      <alignment horizontal="center" vertical="center" wrapText="1"/>
    </xf>
    <xf numFmtId="0" fontId="8" fillId="0" borderId="7" xfId="0" applyFont="1" applyBorder="1" applyAlignment="1">
      <alignment horizontal="center" vertical="center"/>
    </xf>
    <xf numFmtId="0" fontId="0" fillId="0" borderId="7" xfId="0" applyBorder="1" applyAlignment="1">
      <alignment vertical="center"/>
    </xf>
    <xf numFmtId="0" fontId="7" fillId="0" borderId="2" xfId="0" applyFont="1" applyBorder="1" applyAlignment="1">
      <alignment horizontal="center" vertical="center"/>
    </xf>
    <xf numFmtId="0" fontId="0" fillId="2" borderId="15" xfId="0" applyFill="1" applyBorder="1" applyAlignment="1" applyProtection="1">
      <alignment vertical="center" shrinkToFit="1"/>
      <protection locked="0"/>
    </xf>
    <xf numFmtId="0" fontId="0" fillId="2" borderId="20" xfId="0" applyFill="1" applyBorder="1" applyAlignment="1" applyProtection="1">
      <alignment vertical="center" shrinkToFit="1"/>
      <protection locked="0"/>
    </xf>
    <xf numFmtId="0" fontId="0" fillId="2" borderId="22" xfId="0" applyFill="1" applyBorder="1" applyAlignment="1" applyProtection="1">
      <alignment vertical="center" shrinkToFit="1"/>
      <protection locked="0"/>
    </xf>
    <xf numFmtId="0" fontId="0" fillId="2" borderId="23" xfId="0" applyFill="1" applyBorder="1" applyAlignment="1" applyProtection="1">
      <alignment vertical="center" shrinkToFit="1"/>
      <protection locked="0"/>
    </xf>
    <xf numFmtId="0" fontId="0" fillId="0" borderId="28" xfId="0" applyBorder="1" applyAlignment="1">
      <alignment horizontal="center" vertical="center" wrapText="1"/>
    </xf>
    <xf numFmtId="0" fontId="0" fillId="0" borderId="30" xfId="0" applyBorder="1" applyAlignment="1">
      <alignment horizontal="center" vertical="center"/>
    </xf>
    <xf numFmtId="0" fontId="0" fillId="0" borderId="56" xfId="0" applyBorder="1" applyAlignment="1">
      <alignment horizontal="center" vertical="center"/>
    </xf>
    <xf numFmtId="0" fontId="0" fillId="0" borderId="16" xfId="0" applyBorder="1" applyAlignment="1"/>
    <xf numFmtId="0" fontId="0" fillId="0" borderId="17" xfId="0" applyBorder="1" applyAlignment="1"/>
    <xf numFmtId="0" fontId="0" fillId="0" borderId="18" xfId="0" applyBorder="1" applyAlignment="1"/>
    <xf numFmtId="0" fontId="0" fillId="2" borderId="19" xfId="0" applyFill="1" applyBorder="1" applyAlignment="1" applyProtection="1">
      <alignment vertical="center" shrinkToFit="1"/>
      <protection locked="0"/>
    </xf>
    <xf numFmtId="0" fontId="0" fillId="2" borderId="21" xfId="0" applyFill="1" applyBorder="1" applyAlignment="1" applyProtection="1">
      <alignment vertical="center" shrinkToFit="1"/>
      <protection locked="0"/>
    </xf>
    <xf numFmtId="0" fontId="0" fillId="2" borderId="80" xfId="0" applyFill="1" applyBorder="1" applyAlignment="1" applyProtection="1">
      <alignment vertical="center" shrinkToFit="1"/>
      <protection locked="0"/>
    </xf>
    <xf numFmtId="0" fontId="0" fillId="2" borderId="81" xfId="0" applyFill="1" applyBorder="1" applyAlignment="1" applyProtection="1">
      <alignment vertical="center" shrinkToFit="1"/>
      <protection locked="0"/>
    </xf>
    <xf numFmtId="0" fontId="0" fillId="2" borderId="65" xfId="0" applyFill="1" applyBorder="1" applyAlignment="1" applyProtection="1">
      <alignment vertical="center" shrinkToFit="1"/>
      <protection locked="0"/>
    </xf>
    <xf numFmtId="0" fontId="0" fillId="2" borderId="82" xfId="0" applyFill="1" applyBorder="1" applyAlignment="1" applyProtection="1">
      <alignment vertical="center" shrinkToFit="1"/>
      <protection locked="0"/>
    </xf>
    <xf numFmtId="0" fontId="0" fillId="2" borderId="61" xfId="0" applyFill="1" applyBorder="1" applyAlignment="1" applyProtection="1">
      <alignment vertical="center" shrinkToFit="1"/>
      <protection locked="0"/>
    </xf>
    <xf numFmtId="0" fontId="0" fillId="2" borderId="62" xfId="0" applyFill="1" applyBorder="1" applyAlignment="1" applyProtection="1">
      <alignment vertical="center" shrinkToFit="1"/>
      <protection locked="0"/>
    </xf>
    <xf numFmtId="0" fontId="0" fillId="2" borderId="83" xfId="0" applyFill="1" applyBorder="1" applyAlignment="1" applyProtection="1">
      <alignment vertical="center" shrinkToFit="1"/>
      <protection locked="0"/>
    </xf>
    <xf numFmtId="0" fontId="0" fillId="2" borderId="84" xfId="0" applyFill="1" applyBorder="1" applyAlignment="1" applyProtection="1">
      <alignment vertical="center" shrinkToFit="1"/>
      <protection locked="0"/>
    </xf>
    <xf numFmtId="0" fontId="0" fillId="2" borderId="66" xfId="0" applyFill="1" applyBorder="1" applyAlignment="1" applyProtection="1">
      <alignment vertical="center" shrinkToFit="1"/>
      <protection locked="0"/>
    </xf>
    <xf numFmtId="0" fontId="0" fillId="0" borderId="57" xfId="0" applyBorder="1" applyAlignment="1">
      <alignment vertical="center"/>
    </xf>
    <xf numFmtId="0" fontId="0" fillId="0" borderId="58" xfId="0" applyBorder="1" applyAlignment="1">
      <alignment vertical="center"/>
    </xf>
    <xf numFmtId="0" fontId="0" fillId="0" borderId="113" xfId="0" applyBorder="1" applyAlignment="1">
      <alignment vertical="center"/>
    </xf>
    <xf numFmtId="0" fontId="0" fillId="0" borderId="114" xfId="0" applyBorder="1" applyAlignment="1">
      <alignment vertical="center"/>
    </xf>
    <xf numFmtId="0" fontId="0" fillId="0" borderId="115" xfId="0" applyBorder="1" applyAlignment="1">
      <alignment vertical="center"/>
    </xf>
    <xf numFmtId="0" fontId="0" fillId="0" borderId="116" xfId="0" applyBorder="1" applyAlignment="1">
      <alignment vertical="center"/>
    </xf>
    <xf numFmtId="0" fontId="0" fillId="0" borderId="117" xfId="0" applyBorder="1" applyAlignment="1">
      <alignment vertical="center"/>
    </xf>
    <xf numFmtId="0" fontId="0" fillId="0" borderId="118" xfId="0" applyBorder="1" applyAlignment="1">
      <alignment vertical="center"/>
    </xf>
    <xf numFmtId="0" fontId="0" fillId="2" borderId="60" xfId="0" applyFill="1" applyBorder="1" applyAlignment="1" applyProtection="1">
      <alignment vertical="center" shrinkToFit="1"/>
      <protection locked="0"/>
    </xf>
    <xf numFmtId="0" fontId="12" fillId="0" borderId="0" xfId="0" applyFont="1" applyAlignment="1">
      <alignment horizontal="center" vertical="center" wrapText="1"/>
    </xf>
    <xf numFmtId="0" fontId="0" fillId="0" borderId="0" xfId="0" applyAlignment="1"/>
    <xf numFmtId="0" fontId="11" fillId="0" borderId="0" xfId="0" applyFont="1" applyAlignment="1">
      <alignment horizontal="center" vertical="center" wrapText="1"/>
    </xf>
    <xf numFmtId="0" fontId="13" fillId="0" borderId="0" xfId="0" applyFont="1" applyAlignment="1">
      <alignment horizontal="center" vertical="center"/>
    </xf>
    <xf numFmtId="0" fontId="0" fillId="0" borderId="29" xfId="0" applyBorder="1" applyAlignment="1">
      <alignment horizontal="center" vertical="center"/>
    </xf>
    <xf numFmtId="0" fontId="0" fillId="2" borderId="24" xfId="0" applyFill="1" applyBorder="1" applyAlignment="1" applyProtection="1">
      <alignment vertical="center" shrinkToFit="1"/>
      <protection locked="0"/>
    </xf>
    <xf numFmtId="0" fontId="0" fillId="2" borderId="25" xfId="0" applyFill="1" applyBorder="1" applyAlignment="1" applyProtection="1">
      <alignment vertical="center" shrinkToFit="1"/>
      <protection locked="0"/>
    </xf>
    <xf numFmtId="0" fontId="0" fillId="2" borderId="26" xfId="0" applyFill="1" applyBorder="1" applyAlignment="1" applyProtection="1">
      <alignment vertical="center" shrinkToFit="1"/>
      <protection locked="0"/>
    </xf>
    <xf numFmtId="0" fontId="0" fillId="2" borderId="27"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0" fillId="2" borderId="18" xfId="0" applyFill="1" applyBorder="1" applyAlignment="1" applyProtection="1">
      <alignment vertical="center" shrinkToFit="1"/>
      <protection locked="0"/>
    </xf>
    <xf numFmtId="0" fontId="14" fillId="0" borderId="104" xfId="0" applyFont="1" applyBorder="1" applyAlignment="1">
      <alignment vertical="center" wrapText="1"/>
    </xf>
    <xf numFmtId="0" fontId="14" fillId="0" borderId="92" xfId="0" applyFont="1" applyBorder="1" applyAlignment="1">
      <alignment vertical="center" wrapText="1"/>
    </xf>
    <xf numFmtId="0" fontId="14" fillId="0" borderId="105" xfId="0" applyFont="1" applyBorder="1" applyAlignment="1">
      <alignment vertical="center" wrapText="1"/>
    </xf>
    <xf numFmtId="0" fontId="14" fillId="0" borderId="106" xfId="0" applyFont="1" applyBorder="1" applyAlignment="1">
      <alignment vertical="center" wrapText="1"/>
    </xf>
    <xf numFmtId="0" fontId="14" fillId="0" borderId="0" xfId="0" applyFont="1" applyBorder="1" applyAlignment="1">
      <alignment vertical="center" wrapText="1"/>
    </xf>
    <xf numFmtId="0" fontId="14" fillId="0" borderId="107" xfId="0" applyFont="1" applyBorder="1" applyAlignment="1">
      <alignment vertical="center" wrapText="1"/>
    </xf>
    <xf numFmtId="0" fontId="14" fillId="0" borderId="108" xfId="0" applyFont="1" applyBorder="1" applyAlignment="1">
      <alignment vertical="center" wrapText="1"/>
    </xf>
    <xf numFmtId="0" fontId="14" fillId="0" borderId="40" xfId="0" applyFont="1" applyBorder="1" applyAlignment="1">
      <alignment vertical="center" wrapText="1"/>
    </xf>
    <xf numFmtId="0" fontId="14" fillId="0" borderId="109" xfId="0" applyFont="1" applyBorder="1" applyAlignment="1">
      <alignment vertical="center" wrapText="1"/>
    </xf>
    <xf numFmtId="0" fontId="0" fillId="0" borderId="18" xfId="0" applyBorder="1" applyAlignment="1">
      <alignment horizontal="center" vertical="center" wrapText="1"/>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12" fillId="0" borderId="0" xfId="0" applyFont="1" applyAlignment="1"/>
    <xf numFmtId="0" fontId="0" fillId="0" borderId="40" xfId="0" applyFont="1" applyBorder="1" applyAlignment="1">
      <alignment shrinkToFit="1"/>
    </xf>
    <xf numFmtId="0" fontId="0" fillId="0" borderId="40" xfId="0" applyBorder="1" applyAlignment="1">
      <alignment shrinkToFit="1"/>
    </xf>
    <xf numFmtId="0" fontId="8" fillId="0" borderId="17" xfId="0" applyFont="1" applyBorder="1" applyAlignment="1">
      <alignment horizontal="center" vertical="center" wrapText="1"/>
    </xf>
    <xf numFmtId="0" fontId="8" fillId="0" borderId="15" xfId="0" applyFont="1" applyBorder="1" applyAlignment="1">
      <alignment horizontal="center" vertical="center"/>
    </xf>
    <xf numFmtId="0" fontId="13" fillId="0" borderId="0" xfId="0" applyFont="1" applyAlignment="1"/>
    <xf numFmtId="0" fontId="0" fillId="0" borderId="17"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10" fillId="0" borderId="16" xfId="0" applyFont="1" applyBorder="1" applyAlignment="1">
      <alignment horizontal="center" vertical="center"/>
    </xf>
    <xf numFmtId="0" fontId="0" fillId="0" borderId="40" xfId="0" applyFont="1" applyBorder="1" applyAlignment="1">
      <alignment vertical="center" shrinkToFit="1"/>
    </xf>
    <xf numFmtId="0" fontId="0" fillId="0" borderId="40" xfId="0" applyBorder="1" applyAlignment="1">
      <alignment vertical="center" shrinkToFit="1"/>
    </xf>
    <xf numFmtId="0" fontId="0" fillId="0" borderId="9" xfId="0" applyBorder="1" applyAlignment="1">
      <alignment vertical="center"/>
    </xf>
    <xf numFmtId="0" fontId="0" fillId="0" borderId="72" xfId="0" applyBorder="1" applyAlignment="1">
      <alignment vertical="center"/>
    </xf>
    <xf numFmtId="0" fontId="0" fillId="0" borderId="4" xfId="0" applyBorder="1" applyAlignment="1">
      <alignment vertical="center"/>
    </xf>
    <xf numFmtId="0" fontId="0" fillId="0" borderId="73" xfId="0" applyBorder="1" applyAlignment="1">
      <alignment horizontal="center" vertical="center"/>
    </xf>
    <xf numFmtId="0" fontId="0" fillId="0" borderId="6" xfId="0" applyBorder="1" applyAlignment="1">
      <alignment horizontal="center" vertical="center"/>
    </xf>
    <xf numFmtId="0" fontId="0" fillId="2" borderId="9"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0" borderId="71" xfId="0" applyBorder="1" applyAlignment="1">
      <alignment horizontal="center" vertical="center"/>
    </xf>
    <xf numFmtId="0" fontId="0" fillId="2" borderId="72" xfId="0" applyFill="1" applyBorder="1" applyAlignment="1" applyProtection="1">
      <alignment horizontal="center" vertical="center" wrapText="1"/>
      <protection locked="0"/>
    </xf>
    <xf numFmtId="0" fontId="0" fillId="0" borderId="15" xfId="0" applyBorder="1" applyAlignment="1">
      <alignment vertical="center" wrapText="1"/>
    </xf>
    <xf numFmtId="0" fontId="0" fillId="0" borderId="15" xfId="0" applyBorder="1" applyAlignment="1">
      <alignment vertical="center"/>
    </xf>
    <xf numFmtId="0" fontId="0" fillId="0" borderId="54" xfId="0" applyBorder="1" applyAlignment="1">
      <alignment vertical="center"/>
    </xf>
    <xf numFmtId="0" fontId="7" fillId="0" borderId="54" xfId="0" applyFont="1" applyBorder="1" applyAlignment="1">
      <alignment horizontal="center" vertical="center" wrapText="1"/>
    </xf>
    <xf numFmtId="0" fontId="0" fillId="0" borderId="3" xfId="0" applyBorder="1" applyAlignment="1">
      <alignment vertical="center"/>
    </xf>
    <xf numFmtId="0" fontId="0" fillId="0" borderId="55" xfId="0" applyBorder="1" applyAlignment="1">
      <alignment vertical="center"/>
    </xf>
    <xf numFmtId="0" fontId="0" fillId="0" borderId="8" xfId="0" applyBorder="1" applyAlignment="1">
      <alignment vertical="center"/>
    </xf>
    <xf numFmtId="0" fontId="0" fillId="0" borderId="54" xfId="0" applyBorder="1" applyAlignment="1">
      <alignment vertical="center" wrapText="1"/>
    </xf>
    <xf numFmtId="0" fontId="0" fillId="0" borderId="40" xfId="0" applyFont="1" applyBorder="1" applyAlignment="1"/>
    <xf numFmtId="0" fontId="0" fillId="0" borderId="40" xfId="0" applyBorder="1" applyAlignment="1"/>
    <xf numFmtId="0" fontId="0" fillId="0" borderId="12" xfId="0" applyBorder="1" applyAlignment="1">
      <alignment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wrapText="1"/>
    </xf>
    <xf numFmtId="0" fontId="14" fillId="0" borderId="0" xfId="0" applyFont="1" applyAlignment="1">
      <alignment horizontal="justify" vertical="center"/>
    </xf>
    <xf numFmtId="0" fontId="14" fillId="0" borderId="0" xfId="0" applyFont="1" applyAlignment="1"/>
    <xf numFmtId="0" fontId="14" fillId="0" borderId="0" xfId="0" applyFont="1" applyAlignment="1">
      <alignment horizontal="justify" vertical="center" wrapText="1"/>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12" fillId="0" borderId="40" xfId="0" applyFont="1" applyBorder="1" applyAlignment="1">
      <alignment horizontal="center" vertical="center"/>
    </xf>
    <xf numFmtId="0" fontId="17" fillId="0" borderId="40" xfId="0" applyFont="1" applyBorder="1" applyAlignment="1"/>
    <xf numFmtId="0" fontId="0" fillId="0" borderId="63" xfId="0" applyBorder="1" applyAlignment="1">
      <alignment horizontal="center" vertical="center"/>
    </xf>
    <xf numFmtId="0" fontId="0" fillId="0" borderId="67" xfId="0" applyBorder="1" applyAlignment="1">
      <alignment horizontal="center" vertical="center"/>
    </xf>
    <xf numFmtId="0" fontId="0" fillId="0" borderId="64" xfId="0" applyBorder="1" applyAlignment="1">
      <alignment horizontal="center" vertical="center"/>
    </xf>
    <xf numFmtId="0" fontId="10" fillId="0" borderId="119" xfId="0" applyFont="1" applyBorder="1" applyAlignment="1" applyProtection="1">
      <alignment horizontal="left" vertical="center" shrinkToFit="1"/>
      <protection locked="0"/>
    </xf>
    <xf numFmtId="0" fontId="10" fillId="0" borderId="81" xfId="0" applyFont="1" applyBorder="1" applyAlignment="1" applyProtection="1">
      <alignment horizontal="left" vertical="center" shrinkToFit="1"/>
      <protection locked="0"/>
    </xf>
    <xf numFmtId="0" fontId="10" fillId="0" borderId="120" xfId="0" applyFont="1" applyBorder="1" applyAlignment="1" applyProtection="1">
      <alignment horizontal="left" vertical="center" shrinkToFit="1"/>
      <protection locked="0"/>
    </xf>
    <xf numFmtId="0" fontId="0" fillId="0" borderId="64" xfId="0" applyBorder="1" applyAlignment="1">
      <alignment vertical="center" shrinkToFit="1"/>
    </xf>
    <xf numFmtId="0" fontId="0" fillId="0" borderId="64" xfId="0" applyBorder="1" applyAlignment="1" applyProtection="1">
      <alignment vertical="center" shrinkToFit="1"/>
      <protection locked="0"/>
    </xf>
    <xf numFmtId="0" fontId="0" fillId="0" borderId="110" xfId="0" applyBorder="1" applyAlignment="1">
      <alignment horizontal="center" vertical="center"/>
    </xf>
    <xf numFmtId="0" fontId="0" fillId="0" borderId="59" xfId="0" applyBorder="1" applyAlignment="1">
      <alignment horizontal="center" vertical="center"/>
    </xf>
    <xf numFmtId="0" fontId="0" fillId="0" borderId="111" xfId="0" applyBorder="1" applyAlignment="1">
      <alignment horizontal="center" vertical="center"/>
    </xf>
    <xf numFmtId="0" fontId="11" fillId="0" borderId="110" xfId="0" applyFont="1"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0" fillId="0" borderId="104"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pplyProtection="1">
      <alignment horizontal="center" vertical="center" wrapText="1"/>
      <protection locked="0"/>
    </xf>
    <xf numFmtId="0" fontId="0" fillId="0" borderId="59" xfId="0" applyBorder="1" applyAlignment="1">
      <alignment horizontal="center" vertical="center" wrapText="1"/>
    </xf>
    <xf numFmtId="0" fontId="0" fillId="0" borderId="111" xfId="0" applyBorder="1" applyAlignment="1">
      <alignment horizontal="center" vertical="center" wrapText="1"/>
    </xf>
    <xf numFmtId="0" fontId="10" fillId="0" borderId="60" xfId="0" applyFont="1" applyBorder="1" applyAlignment="1" applyProtection="1">
      <alignment horizontal="left" vertical="center" shrinkToFit="1"/>
      <protection locked="0"/>
    </xf>
    <xf numFmtId="0" fontId="10" fillId="0" borderId="61" xfId="0" applyFont="1" applyBorder="1" applyAlignment="1">
      <alignment horizontal="left" vertical="center" shrinkToFit="1"/>
    </xf>
    <xf numFmtId="0" fontId="10" fillId="0" borderId="121" xfId="0" applyFont="1" applyBorder="1" applyAlignment="1">
      <alignment horizontal="left" vertical="center" shrinkToFit="1"/>
    </xf>
    <xf numFmtId="0" fontId="10" fillId="0" borderId="122" xfId="0" applyFont="1" applyBorder="1" applyAlignment="1" applyProtection="1">
      <alignment horizontal="left" vertical="center" shrinkToFit="1"/>
      <protection locked="0"/>
    </xf>
    <xf numFmtId="0" fontId="10" fillId="0" borderId="123" xfId="0" applyFont="1" applyBorder="1" applyAlignment="1">
      <alignment horizontal="left" vertical="center" shrinkToFit="1"/>
    </xf>
    <xf numFmtId="0" fontId="10" fillId="0" borderId="124" xfId="0" applyFont="1" applyBorder="1" applyAlignment="1">
      <alignment horizontal="left" vertical="center" shrinkToFit="1"/>
    </xf>
    <xf numFmtId="0" fontId="7" fillId="0" borderId="0" xfId="0" applyFont="1" applyAlignment="1">
      <alignment vertical="center" wrapText="1"/>
    </xf>
    <xf numFmtId="0" fontId="8" fillId="0" borderId="0" xfId="0" applyFont="1" applyAlignment="1">
      <alignment vertical="center" wrapText="1"/>
    </xf>
    <xf numFmtId="0" fontId="20" fillId="0" borderId="0" xfId="0" applyFont="1" applyAlignment="1">
      <alignment horizontal="left" vertical="center" wrapText="1"/>
    </xf>
    <xf numFmtId="0" fontId="19" fillId="0" borderId="0" xfId="0" applyFont="1" applyAlignment="1">
      <alignment horizontal="center" vertical="center"/>
    </xf>
    <xf numFmtId="0" fontId="0" fillId="0" borderId="40" xfId="0" applyBorder="1" applyAlignment="1">
      <alignment vertical="center"/>
    </xf>
    <xf numFmtId="0" fontId="0" fillId="0" borderId="64" xfId="0" applyBorder="1" applyAlignment="1">
      <alignment vertical="center"/>
    </xf>
    <xf numFmtId="0" fontId="11" fillId="0" borderId="0" xfId="0" applyFont="1" applyAlignment="1">
      <alignment horizontal="distributed" vertical="center"/>
    </xf>
    <xf numFmtId="0" fontId="0" fillId="0" borderId="0" xfId="0" applyAlignment="1">
      <alignment horizontal="distributed" vertical="center"/>
    </xf>
  </cellXfs>
  <cellStyles count="2">
    <cellStyle name="標準" xfId="0" builtinId="0"/>
    <cellStyle name="標準 2" xfId="1" xr:uid="{7211AAE3-267F-4B7B-9E07-D26CE6C76E91}"/>
  </cellStyles>
  <dxfs count="20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233071</xdr:colOff>
      <xdr:row>10</xdr:row>
      <xdr:rowOff>58316</xdr:rowOff>
    </xdr:from>
    <xdr:to>
      <xdr:col>5</xdr:col>
      <xdr:colOff>388057</xdr:colOff>
      <xdr:row>10</xdr:row>
      <xdr:rowOff>211392</xdr:rowOff>
    </xdr:to>
    <xdr:sp macro="" textlink="">
      <xdr:nvSpPr>
        <xdr:cNvPr id="2" name="正方形/長方形 1">
          <a:extLst>
            <a:ext uri="{FF2B5EF4-FFF2-40B4-BE49-F238E27FC236}">
              <a16:creationId xmlns:a16="http://schemas.microsoft.com/office/drawing/2014/main" id="{65872BC3-08F3-40EE-80DD-741A38EC94A8}"/>
            </a:ext>
          </a:extLst>
        </xdr:cNvPr>
        <xdr:cNvSpPr/>
      </xdr:nvSpPr>
      <xdr:spPr>
        <a:xfrm>
          <a:off x="6252871" y="6887741"/>
          <a:ext cx="154986" cy="153076"/>
        </a:xfrm>
        <a:prstGeom prst="rect">
          <a:avLst/>
        </a:prstGeom>
        <a:noFill/>
        <a:ln w="19050" cap="flat" cmpd="sng" algn="ctr">
          <a:solidFill>
            <a:sysClr val="windowText" lastClr="00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lIns="0" tIns="0" rIns="0" bIns="0"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M31"/>
  <sheetViews>
    <sheetView tabSelected="1" view="pageBreakPreview" zoomScaleNormal="100" zoomScaleSheetLayoutView="100" workbookViewId="0">
      <selection activeCell="A6" sqref="A6"/>
    </sheetView>
  </sheetViews>
  <sheetFormatPr defaultRowHeight="18.75" x14ac:dyDescent="0.4"/>
  <cols>
    <col min="1" max="1" width="9" customWidth="1"/>
    <col min="13" max="13" width="14" customWidth="1"/>
  </cols>
  <sheetData>
    <row r="1" spans="1:13" ht="24" x14ac:dyDescent="0.4">
      <c r="A1" s="274" t="str">
        <f>"第"&amp;設定!$B$2&amp;"回 キャロットステークス 申込書"</f>
        <v>第40回 キャロットステークス 申込書</v>
      </c>
      <c r="B1" s="275"/>
      <c r="C1" s="275"/>
      <c r="D1" s="275"/>
      <c r="E1" s="275"/>
      <c r="F1" s="275"/>
      <c r="G1" s="275"/>
      <c r="H1" s="275"/>
      <c r="I1" s="275"/>
      <c r="J1" s="275"/>
      <c r="K1" s="275"/>
      <c r="L1" s="275"/>
      <c r="M1" s="275"/>
    </row>
    <row r="2" spans="1:13" ht="13.5" customHeight="1" x14ac:dyDescent="0.4"/>
    <row r="3" spans="1:13" x14ac:dyDescent="0.4">
      <c r="A3" s="276" t="s">
        <v>381</v>
      </c>
      <c r="B3" s="275"/>
      <c r="C3" s="275"/>
      <c r="D3" s="275"/>
      <c r="E3" s="275"/>
      <c r="F3" s="275"/>
      <c r="G3" s="275"/>
      <c r="H3" s="275"/>
      <c r="I3" s="275"/>
      <c r="J3" s="275"/>
      <c r="K3" s="275"/>
      <c r="L3" s="275"/>
      <c r="M3" s="275"/>
    </row>
    <row r="4" spans="1:13" ht="7.5" customHeight="1" x14ac:dyDescent="0.4"/>
    <row r="5" spans="1:13" x14ac:dyDescent="0.4">
      <c r="A5" s="221" t="s">
        <v>306</v>
      </c>
    </row>
    <row r="6" spans="1:13" x14ac:dyDescent="0.4">
      <c r="A6" t="s">
        <v>308</v>
      </c>
    </row>
    <row r="7" spans="1:13" x14ac:dyDescent="0.4">
      <c r="A7" t="s">
        <v>380</v>
      </c>
    </row>
    <row r="8" spans="1:13" x14ac:dyDescent="0.4">
      <c r="A8" t="s">
        <v>443</v>
      </c>
    </row>
    <row r="9" spans="1:13" x14ac:dyDescent="0.4">
      <c r="A9" t="s">
        <v>311</v>
      </c>
    </row>
    <row r="10" spans="1:13" x14ac:dyDescent="0.4">
      <c r="A10" t="s">
        <v>310</v>
      </c>
    </row>
    <row r="11" spans="1:13" x14ac:dyDescent="0.4">
      <c r="A11" t="s">
        <v>364</v>
      </c>
    </row>
    <row r="12" spans="1:13" ht="12" customHeight="1" x14ac:dyDescent="0.4"/>
    <row r="13" spans="1:13" x14ac:dyDescent="0.4">
      <c r="A13" s="221" t="s">
        <v>303</v>
      </c>
    </row>
    <row r="14" spans="1:13" x14ac:dyDescent="0.4">
      <c r="A14" s="262" t="s">
        <v>428</v>
      </c>
    </row>
    <row r="15" spans="1:13" x14ac:dyDescent="0.4">
      <c r="A15" t="s">
        <v>309</v>
      </c>
    </row>
    <row r="16" spans="1:13" x14ac:dyDescent="0.4">
      <c r="A16" s="262" t="s">
        <v>430</v>
      </c>
    </row>
    <row r="17" spans="1:2" x14ac:dyDescent="0.4">
      <c r="A17" t="s">
        <v>365</v>
      </c>
    </row>
    <row r="18" spans="1:2" x14ac:dyDescent="0.4">
      <c r="A18" t="str">
        <f>"・エントリー締め切り後の変更受付期間中の変更は、変更1件につき、"&amp;設定!$B$14&amp;"円の変更手数料がかかります。"</f>
        <v>・エントリー締め切り後の変更受付期間中の変更は、変更1件につき、0円の変更手数料がかかります。</v>
      </c>
    </row>
    <row r="19" spans="1:2" x14ac:dyDescent="0.4">
      <c r="A19" s="262" t="s">
        <v>429</v>
      </c>
    </row>
    <row r="20" spans="1:2" x14ac:dyDescent="0.4">
      <c r="A20" t="str">
        <f>"・変更受付期間後の変更は、打ち合わせ会の場で受け付けます。この場合、変更1件につき、"&amp;設定!$B$15&amp;"円の変更手数料がかかります。"</f>
        <v>・変更受付期間後の変更は、打ち合わせ会の場で受け付けます。この場合、変更1件につき、1000円の変更手数料がかかります。</v>
      </c>
    </row>
    <row r="21" spans="1:2" x14ac:dyDescent="0.4">
      <c r="A21" t="s">
        <v>368</v>
      </c>
    </row>
    <row r="22" spans="1:2" x14ac:dyDescent="0.4">
      <c r="A22" t="s">
        <v>366</v>
      </c>
    </row>
    <row r="23" spans="1:2" x14ac:dyDescent="0.4">
      <c r="A23" t="s">
        <v>367</v>
      </c>
    </row>
    <row r="24" spans="1:2" ht="12" customHeight="1" x14ac:dyDescent="0.4"/>
    <row r="25" spans="1:2" x14ac:dyDescent="0.4">
      <c r="A25" s="221" t="s">
        <v>305</v>
      </c>
    </row>
    <row r="26" spans="1:2" x14ac:dyDescent="0.4">
      <c r="A26" t="s">
        <v>372</v>
      </c>
    </row>
    <row r="27" spans="1:2" x14ac:dyDescent="0.4">
      <c r="A27" t="s">
        <v>373</v>
      </c>
    </row>
    <row r="28" spans="1:2" ht="12.75" customHeight="1" x14ac:dyDescent="0.4"/>
    <row r="29" spans="1:2" x14ac:dyDescent="0.4">
      <c r="A29" s="221" t="s">
        <v>444</v>
      </c>
    </row>
    <row r="30" spans="1:2" x14ac:dyDescent="0.4">
      <c r="B30" t="s">
        <v>307</v>
      </c>
    </row>
    <row r="31" spans="1:2" x14ac:dyDescent="0.4">
      <c r="B31" t="s">
        <v>304</v>
      </c>
    </row>
  </sheetData>
  <sheetProtection algorithmName="SHA-512" hashValue="TEA9ARodK5r02R8MJjhHIqwm4cq0/W9EsfdkYHM6JjJWeXZ1KFxhFhaAzJHo++fMJPuGFYmBpzxAt2Dh3wmhfw==" saltValue="fkwZmwk+1m7hfOU3gpX4vQ==" spinCount="100000" sheet="1" objects="1" scenarios="1"/>
  <mergeCells count="2">
    <mergeCell ref="A1:M1"/>
    <mergeCell ref="A3:M3"/>
  </mergeCells>
  <phoneticPr fontId="4"/>
  <pageMargins left="0.70866141732283472" right="0.70866141732283472" top="0.55118110236220474" bottom="0.55118110236220474" header="0.31496062992125984" footer="0.31496062992125984"/>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2553-0B20-413B-A535-7F866572C2D4}">
  <sheetPr codeName="Sheet2">
    <tabColor rgb="FF7030A0"/>
  </sheetPr>
  <dimension ref="A1:H28"/>
  <sheetViews>
    <sheetView view="pageBreakPreview" zoomScale="110" zoomScaleNormal="100" zoomScaleSheetLayoutView="110" workbookViewId="0">
      <selection activeCell="M20" sqref="M20"/>
    </sheetView>
  </sheetViews>
  <sheetFormatPr defaultRowHeight="18.75" x14ac:dyDescent="0.4"/>
  <cols>
    <col min="5" max="5" width="14.75" bestFit="1" customWidth="1"/>
  </cols>
  <sheetData>
    <row r="1" spans="1:8" x14ac:dyDescent="0.4">
      <c r="A1" t="s">
        <v>357</v>
      </c>
    </row>
    <row r="2" spans="1:8" x14ac:dyDescent="0.4">
      <c r="A2" t="str">
        <f>A26</f>
        <v>* 印刷して、日付、選手名、保護者名(自署)を記入し、捺印してください。エントリー後、日本社会人団体馬術連盟 事務局まで郵送、または打ち合わせ会 会場で提出してください。</v>
      </c>
    </row>
    <row r="3" spans="1:8" x14ac:dyDescent="0.4">
      <c r="A3" t="str">
        <f>A27</f>
        <v>* 万一、未成年の選手が落馬し、保護者が不在で、委任状の提出がない場合、その後、大会期間中、再騎乗は認められません。その後の競技へのエントリーがある場合は、棄権扱いとなります。</v>
      </c>
    </row>
    <row r="4" spans="1:8" x14ac:dyDescent="0.4">
      <c r="A4" t="str">
        <f>A28</f>
        <v>* 落馬は競技中・競技場内に限りません。競技場・準備運動場・通路等、御殿場市馬術・スポーツセンター敷地内でのすべての落馬に適用されます。</v>
      </c>
    </row>
    <row r="8" spans="1:8" ht="26.25" customHeight="1" x14ac:dyDescent="0.4">
      <c r="A8" s="441" t="s">
        <v>349</v>
      </c>
      <c r="B8" s="441"/>
      <c r="C8" s="441"/>
      <c r="D8" s="441"/>
      <c r="E8" s="441"/>
      <c r="F8" s="441"/>
      <c r="G8" s="441"/>
      <c r="H8" s="441"/>
    </row>
    <row r="9" spans="1:8" ht="26.25" customHeight="1" x14ac:dyDescent="0.4">
      <c r="A9" s="157"/>
      <c r="B9" s="157"/>
      <c r="C9" s="157"/>
      <c r="D9" s="157"/>
      <c r="E9" s="157"/>
      <c r="F9" s="157"/>
      <c r="G9" s="157"/>
      <c r="H9" s="157"/>
    </row>
    <row r="10" spans="1:8" ht="26.25" customHeight="1" x14ac:dyDescent="0.4">
      <c r="F10" s="220" t="s">
        <v>351</v>
      </c>
      <c r="G10" s="220" t="s">
        <v>352</v>
      </c>
      <c r="H10" s="220" t="s">
        <v>353</v>
      </c>
    </row>
    <row r="11" spans="1:8" ht="26.25" customHeight="1" x14ac:dyDescent="0.4">
      <c r="F11" s="36"/>
      <c r="G11" s="36"/>
      <c r="H11" s="36"/>
    </row>
    <row r="12" spans="1:8" s="101" customFormat="1" ht="26.25" customHeight="1" x14ac:dyDescent="0.4">
      <c r="A12" s="444" t="s">
        <v>350</v>
      </c>
      <c r="B12" s="445"/>
    </row>
    <row r="13" spans="1:8" s="101" customFormat="1" ht="26.25" customHeight="1" x14ac:dyDescent="0.4">
      <c r="A13" s="104"/>
    </row>
    <row r="14" spans="1:8" s="101" customFormat="1" ht="26.25" customHeight="1" x14ac:dyDescent="0.4">
      <c r="A14" s="104"/>
      <c r="E14" s="70" t="s">
        <v>356</v>
      </c>
      <c r="F14" s="442"/>
      <c r="G14" s="442"/>
      <c r="H14" s="442"/>
    </row>
    <row r="15" spans="1:8" s="101" customFormat="1" ht="26.25" customHeight="1" x14ac:dyDescent="0.4">
      <c r="A15" s="104"/>
      <c r="E15" s="70" t="s">
        <v>354</v>
      </c>
      <c r="F15" s="443"/>
      <c r="G15" s="443"/>
      <c r="H15" s="443"/>
    </row>
    <row r="16" spans="1:8" s="101" customFormat="1" ht="26.25" customHeight="1" x14ac:dyDescent="0.4">
      <c r="A16" s="104"/>
      <c r="E16" s="70" t="s">
        <v>355</v>
      </c>
      <c r="F16" s="442"/>
      <c r="G16" s="442"/>
      <c r="H16" s="225" t="s">
        <v>371</v>
      </c>
    </row>
    <row r="17" spans="1:8" ht="26.25" customHeight="1" x14ac:dyDescent="0.4"/>
    <row r="18" spans="1:8" x14ac:dyDescent="0.4">
      <c r="A18" s="440" t="s">
        <v>362</v>
      </c>
      <c r="B18" s="440"/>
      <c r="C18" s="440"/>
      <c r="D18" s="440"/>
      <c r="E18" s="440"/>
      <c r="F18" s="440"/>
      <c r="G18" s="440"/>
      <c r="H18" s="440"/>
    </row>
    <row r="19" spans="1:8" x14ac:dyDescent="0.4">
      <c r="A19" s="440"/>
      <c r="B19" s="440"/>
      <c r="C19" s="440"/>
      <c r="D19" s="440"/>
      <c r="E19" s="440"/>
      <c r="F19" s="440"/>
      <c r="G19" s="440"/>
      <c r="H19" s="440"/>
    </row>
    <row r="20" spans="1:8" ht="19.5" customHeight="1" x14ac:dyDescent="0.4">
      <c r="A20" s="440"/>
      <c r="B20" s="440"/>
      <c r="C20" s="440"/>
      <c r="D20" s="440"/>
      <c r="E20" s="440"/>
      <c r="F20" s="440"/>
      <c r="G20" s="440"/>
      <c r="H20" s="440"/>
    </row>
    <row r="21" spans="1:8" ht="19.5" customHeight="1" x14ac:dyDescent="0.4">
      <c r="A21" s="440"/>
      <c r="B21" s="440"/>
      <c r="C21" s="440"/>
      <c r="D21" s="440"/>
      <c r="E21" s="440"/>
      <c r="F21" s="440"/>
      <c r="G21" s="440"/>
      <c r="H21" s="440"/>
    </row>
    <row r="22" spans="1:8" ht="19.5" customHeight="1" x14ac:dyDescent="0.4">
      <c r="A22" s="255"/>
      <c r="B22" s="255"/>
      <c r="C22" s="255"/>
      <c r="D22" s="255"/>
      <c r="E22" s="255"/>
      <c r="F22" s="255"/>
      <c r="G22" s="255"/>
      <c r="H22" s="255"/>
    </row>
    <row r="23" spans="1:8" ht="19.5" customHeight="1" x14ac:dyDescent="0.4">
      <c r="A23" s="255"/>
      <c r="B23" s="255"/>
      <c r="C23" s="255"/>
      <c r="D23" s="255"/>
      <c r="E23" s="255"/>
      <c r="F23" s="255"/>
      <c r="G23" s="255"/>
      <c r="H23" s="255"/>
    </row>
    <row r="24" spans="1:8" ht="19.5" customHeight="1" x14ac:dyDescent="0.4">
      <c r="A24" s="255"/>
      <c r="B24" s="255"/>
      <c r="C24" s="255"/>
      <c r="D24" s="255"/>
      <c r="E24" s="255"/>
      <c r="F24" s="255"/>
      <c r="G24" s="255"/>
      <c r="H24" s="255"/>
    </row>
    <row r="25" spans="1:8" ht="26.25" customHeight="1" x14ac:dyDescent="0.4"/>
    <row r="26" spans="1:8" ht="39.75" customHeight="1" x14ac:dyDescent="0.4">
      <c r="A26" s="438" t="s">
        <v>427</v>
      </c>
      <c r="B26" s="438"/>
      <c r="C26" s="438"/>
      <c r="D26" s="438"/>
      <c r="E26" s="438"/>
      <c r="F26" s="438"/>
      <c r="G26" s="438"/>
      <c r="H26" s="438"/>
    </row>
    <row r="27" spans="1:8" ht="42" customHeight="1" x14ac:dyDescent="0.4">
      <c r="A27" s="438" t="s">
        <v>425</v>
      </c>
      <c r="B27" s="438"/>
      <c r="C27" s="438"/>
      <c r="D27" s="438"/>
      <c r="E27" s="438"/>
      <c r="F27" s="438"/>
      <c r="G27" s="438"/>
      <c r="H27" s="438"/>
    </row>
    <row r="28" spans="1:8" ht="36.75" customHeight="1" x14ac:dyDescent="0.4">
      <c r="A28" s="439" t="s">
        <v>426</v>
      </c>
      <c r="B28" s="439"/>
      <c r="C28" s="439"/>
      <c r="D28" s="439"/>
      <c r="E28" s="439"/>
      <c r="F28" s="439"/>
      <c r="G28" s="439"/>
      <c r="H28" s="439"/>
    </row>
  </sheetData>
  <sheetProtection algorithmName="SHA-512" hashValue="Xs/hKPRnn/Eu5R7hBYNnMQjIPEZtGQuRcsRD50zoEoY7AgTvPbPmoPc7NQAxLPXDxVdxT9G1asopblbOy698lw==" saltValue="q9wrXpOY0BOe1deOXgf23w==" spinCount="100000" sheet="1" objects="1" scenarios="1"/>
  <mergeCells count="9">
    <mergeCell ref="A26:H26"/>
    <mergeCell ref="A27:H27"/>
    <mergeCell ref="A28:H28"/>
    <mergeCell ref="A18:H21"/>
    <mergeCell ref="A8:H8"/>
    <mergeCell ref="F14:H14"/>
    <mergeCell ref="F15:H15"/>
    <mergeCell ref="F16:G16"/>
    <mergeCell ref="A12:B12"/>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D67B6-D7AF-4BCF-A07F-E3159B7854A8}">
  <sheetPr codeName="Sheet3"/>
  <dimension ref="A2:C16"/>
  <sheetViews>
    <sheetView workbookViewId="0">
      <selection activeCell="B16" sqref="B16"/>
    </sheetView>
  </sheetViews>
  <sheetFormatPr defaultRowHeight="18.75" x14ac:dyDescent="0.4"/>
  <cols>
    <col min="1" max="1" width="27.625" bestFit="1" customWidth="1"/>
    <col min="2" max="2" width="11.375" bestFit="1" customWidth="1"/>
  </cols>
  <sheetData>
    <row r="2" spans="1:3" x14ac:dyDescent="0.4">
      <c r="A2" s="99" t="s">
        <v>363</v>
      </c>
      <c r="B2" s="214">
        <v>40</v>
      </c>
    </row>
    <row r="3" spans="1:3" x14ac:dyDescent="0.4">
      <c r="A3" s="99" t="s">
        <v>433</v>
      </c>
      <c r="B3" s="99"/>
    </row>
    <row r="4" spans="1:3" x14ac:dyDescent="0.4">
      <c r="A4" s="99" t="s">
        <v>438</v>
      </c>
      <c r="B4" s="270">
        <v>43749</v>
      </c>
    </row>
    <row r="5" spans="1:3" x14ac:dyDescent="0.4">
      <c r="A5" s="99" t="s">
        <v>439</v>
      </c>
      <c r="B5" s="270">
        <v>43750</v>
      </c>
    </row>
    <row r="6" spans="1:3" x14ac:dyDescent="0.4">
      <c r="A6" s="99" t="s">
        <v>440</v>
      </c>
      <c r="B6" s="270">
        <v>43751</v>
      </c>
    </row>
    <row r="7" spans="1:3" x14ac:dyDescent="0.4">
      <c r="A7" s="99" t="s">
        <v>441</v>
      </c>
      <c r="B7" s="99"/>
    </row>
    <row r="8" spans="1:3" x14ac:dyDescent="0.4">
      <c r="A8" s="99" t="s">
        <v>434</v>
      </c>
      <c r="B8" s="270">
        <v>43721</v>
      </c>
    </row>
    <row r="9" spans="1:3" x14ac:dyDescent="0.4">
      <c r="A9" s="99" t="s">
        <v>435</v>
      </c>
      <c r="B9" s="270">
        <v>43722</v>
      </c>
    </row>
    <row r="10" spans="1:3" x14ac:dyDescent="0.4">
      <c r="A10" s="99" t="s">
        <v>436</v>
      </c>
      <c r="B10" s="270">
        <v>43735</v>
      </c>
    </row>
    <row r="11" spans="1:3" x14ac:dyDescent="0.4">
      <c r="A11" s="99" t="s">
        <v>437</v>
      </c>
      <c r="B11" s="270">
        <v>43749</v>
      </c>
    </row>
    <row r="13" spans="1:3" x14ac:dyDescent="0.4">
      <c r="A13" s="99" t="s">
        <v>312</v>
      </c>
      <c r="B13" s="99">
        <v>12000</v>
      </c>
      <c r="C13" s="267"/>
    </row>
    <row r="14" spans="1:3" x14ac:dyDescent="0.4">
      <c r="A14" s="99" t="s">
        <v>446</v>
      </c>
      <c r="B14" s="99">
        <v>0</v>
      </c>
    </row>
    <row r="15" spans="1:3" x14ac:dyDescent="0.4">
      <c r="A15" s="99" t="s">
        <v>447</v>
      </c>
      <c r="B15" s="99">
        <v>1000</v>
      </c>
    </row>
    <row r="16" spans="1:3" x14ac:dyDescent="0.4">
      <c r="A16" s="99" t="s">
        <v>442</v>
      </c>
      <c r="B16" s="269">
        <v>1100</v>
      </c>
    </row>
  </sheetData>
  <sheetProtection algorithmName="SHA-512" hashValue="DrQFFUh1VSYKduNyzkNG/UiXSMXvCdJar4AtXRz3ZHiSlxCH9G52puEbztJ+C8jZ8vPmJtZAF9gteIeQWWRawg==" saltValue="AVGro31FMlVi2eEar+xWrw==" spinCount="100000" sheet="1" objects="1" scenarios="1"/>
  <phoneticPr fontId="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38FD-7BF4-4999-9AC8-91DA45768786}">
  <sheetPr codeName="Sheet11"/>
  <dimension ref="A1:R50"/>
  <sheetViews>
    <sheetView zoomScaleNormal="100" workbookViewId="0">
      <selection activeCell="E10" sqref="E10"/>
    </sheetView>
  </sheetViews>
  <sheetFormatPr defaultRowHeight="18.75" x14ac:dyDescent="0.4"/>
  <cols>
    <col min="1" max="1" width="3.5" bestFit="1" customWidth="1"/>
    <col min="2" max="2" width="48.375" bestFit="1" customWidth="1"/>
    <col min="3" max="3" width="2.5" bestFit="1" customWidth="1"/>
    <col min="4" max="4" width="3.5" bestFit="1" customWidth="1"/>
    <col min="5" max="5" width="45.875" bestFit="1" customWidth="1"/>
    <col min="6" max="6" width="2.5" bestFit="1" customWidth="1"/>
    <col min="7" max="7" width="3.5" bestFit="1" customWidth="1"/>
    <col min="9" max="10" width="2.5" bestFit="1" customWidth="1"/>
    <col min="12" max="12" width="2.5" bestFit="1" customWidth="1"/>
    <col min="15" max="15" width="2.5" bestFit="1" customWidth="1"/>
    <col min="18" max="18" width="69.625" bestFit="1" customWidth="1"/>
  </cols>
  <sheetData>
    <row r="1" spans="1:18" x14ac:dyDescent="0.4">
      <c r="B1" t="s">
        <v>70</v>
      </c>
      <c r="E1" t="s">
        <v>71</v>
      </c>
      <c r="H1" t="s">
        <v>137</v>
      </c>
      <c r="K1" t="s">
        <v>358</v>
      </c>
      <c r="N1" t="s">
        <v>242</v>
      </c>
      <c r="R1" t="s">
        <v>382</v>
      </c>
    </row>
    <row r="2" spans="1:18" ht="19.5" customHeight="1" x14ac:dyDescent="0.4">
      <c r="A2">
        <v>1</v>
      </c>
      <c r="B2" t="s">
        <v>7</v>
      </c>
      <c r="C2">
        <v>1</v>
      </c>
      <c r="D2">
        <v>1</v>
      </c>
      <c r="E2" t="s">
        <v>7</v>
      </c>
      <c r="F2">
        <v>1</v>
      </c>
      <c r="G2">
        <v>1</v>
      </c>
      <c r="H2" t="s">
        <v>7</v>
      </c>
      <c r="I2">
        <v>1</v>
      </c>
      <c r="J2">
        <v>1</v>
      </c>
      <c r="K2" t="s">
        <v>413</v>
      </c>
      <c r="L2">
        <v>1</v>
      </c>
      <c r="M2">
        <v>1</v>
      </c>
      <c r="N2" s="139" t="s">
        <v>241</v>
      </c>
      <c r="O2">
        <v>1</v>
      </c>
      <c r="R2" t="s">
        <v>383</v>
      </c>
    </row>
    <row r="3" spans="1:18" ht="23.25" customHeight="1" x14ac:dyDescent="0.4">
      <c r="A3">
        <v>2</v>
      </c>
      <c r="B3" t="s">
        <v>66</v>
      </c>
      <c r="C3">
        <v>2</v>
      </c>
      <c r="D3">
        <v>2</v>
      </c>
      <c r="E3" t="s">
        <v>8</v>
      </c>
      <c r="F3">
        <v>2</v>
      </c>
      <c r="G3">
        <v>2</v>
      </c>
      <c r="H3" t="s">
        <v>8</v>
      </c>
      <c r="I3">
        <v>2</v>
      </c>
      <c r="J3">
        <v>2</v>
      </c>
      <c r="K3" t="s">
        <v>358</v>
      </c>
      <c r="L3">
        <v>2</v>
      </c>
      <c r="M3">
        <v>2</v>
      </c>
      <c r="N3" s="139" t="s">
        <v>240</v>
      </c>
      <c r="O3">
        <v>2</v>
      </c>
      <c r="R3" t="s">
        <v>384</v>
      </c>
    </row>
    <row r="4" spans="1:18" ht="18.75" customHeight="1" x14ac:dyDescent="0.4">
      <c r="A4">
        <v>3</v>
      </c>
      <c r="B4" t="s">
        <v>6</v>
      </c>
      <c r="C4">
        <v>3</v>
      </c>
      <c r="D4">
        <v>3</v>
      </c>
      <c r="E4" t="s">
        <v>6</v>
      </c>
      <c r="F4">
        <v>3</v>
      </c>
      <c r="G4">
        <v>3</v>
      </c>
      <c r="H4" t="s">
        <v>138</v>
      </c>
      <c r="I4">
        <v>3</v>
      </c>
      <c r="M4">
        <v>3</v>
      </c>
      <c r="N4" s="139" t="s">
        <v>239</v>
      </c>
      <c r="O4">
        <v>3</v>
      </c>
      <c r="R4" t="s">
        <v>385</v>
      </c>
    </row>
    <row r="5" spans="1:18" x14ac:dyDescent="0.4">
      <c r="A5">
        <v>4</v>
      </c>
      <c r="B5" t="s">
        <v>68</v>
      </c>
      <c r="C5">
        <v>4</v>
      </c>
      <c r="D5">
        <v>4</v>
      </c>
      <c r="E5" t="s">
        <v>5</v>
      </c>
      <c r="F5">
        <v>4</v>
      </c>
      <c r="G5">
        <v>4</v>
      </c>
      <c r="H5" t="s">
        <v>139</v>
      </c>
      <c r="I5">
        <v>4</v>
      </c>
      <c r="M5">
        <v>4</v>
      </c>
      <c r="N5" t="s">
        <v>233</v>
      </c>
      <c r="O5">
        <v>4</v>
      </c>
      <c r="R5" t="s">
        <v>386</v>
      </c>
    </row>
    <row r="6" spans="1:18" x14ac:dyDescent="0.4">
      <c r="A6">
        <v>5</v>
      </c>
      <c r="B6" t="s">
        <v>69</v>
      </c>
      <c r="C6">
        <v>5</v>
      </c>
      <c r="D6">
        <v>5</v>
      </c>
      <c r="E6" t="s">
        <v>4</v>
      </c>
      <c r="F6">
        <v>5</v>
      </c>
      <c r="M6">
        <v>5</v>
      </c>
      <c r="N6" t="s">
        <v>232</v>
      </c>
      <c r="O6">
        <v>5</v>
      </c>
      <c r="R6" t="s">
        <v>387</v>
      </c>
    </row>
    <row r="7" spans="1:18" ht="18" customHeight="1" x14ac:dyDescent="0.4">
      <c r="A7">
        <v>6</v>
      </c>
      <c r="B7" t="s">
        <v>67</v>
      </c>
      <c r="C7">
        <v>6</v>
      </c>
      <c r="D7">
        <v>6</v>
      </c>
      <c r="E7" t="s">
        <v>12</v>
      </c>
      <c r="F7">
        <v>6</v>
      </c>
      <c r="M7">
        <v>6</v>
      </c>
      <c r="N7" t="s">
        <v>237</v>
      </c>
      <c r="O7">
        <v>6</v>
      </c>
      <c r="Q7" s="139"/>
      <c r="R7" t="s">
        <v>388</v>
      </c>
    </row>
    <row r="8" spans="1:18" ht="20.25" customHeight="1" x14ac:dyDescent="0.4">
      <c r="M8">
        <v>7</v>
      </c>
      <c r="N8" s="80"/>
      <c r="Q8" s="139"/>
      <c r="R8" t="s">
        <v>389</v>
      </c>
    </row>
    <row r="9" spans="1:18" ht="20.25" customHeight="1" x14ac:dyDescent="0.4">
      <c r="B9" t="s">
        <v>42</v>
      </c>
      <c r="E9" t="s">
        <v>41</v>
      </c>
      <c r="M9">
        <v>8</v>
      </c>
      <c r="N9" s="80"/>
      <c r="Q9" s="139"/>
      <c r="R9" t="s">
        <v>390</v>
      </c>
    </row>
    <row r="10" spans="1:18" x14ac:dyDescent="0.4">
      <c r="A10">
        <v>1</v>
      </c>
      <c r="B10" t="s">
        <v>98</v>
      </c>
      <c r="C10">
        <v>1</v>
      </c>
      <c r="D10">
        <v>0</v>
      </c>
      <c r="F10">
        <f>C10</f>
        <v>1</v>
      </c>
      <c r="G10">
        <f>D10</f>
        <v>0</v>
      </c>
      <c r="R10" t="s">
        <v>391</v>
      </c>
    </row>
    <row r="11" spans="1:18" x14ac:dyDescent="0.4">
      <c r="A11">
        <v>2</v>
      </c>
      <c r="B11" t="s">
        <v>99</v>
      </c>
      <c r="C11">
        <v>1</v>
      </c>
      <c r="D11">
        <v>1</v>
      </c>
      <c r="E11" t="str">
        <f>IF(団体登録!B6&lt;&gt;"",団体登録!B6,"")</f>
        <v/>
      </c>
      <c r="F11">
        <f>C11</f>
        <v>1</v>
      </c>
      <c r="G11">
        <f>D11</f>
        <v>1</v>
      </c>
      <c r="R11" t="s">
        <v>392</v>
      </c>
    </row>
    <row r="12" spans="1:18" x14ac:dyDescent="0.4">
      <c r="A12">
        <v>3</v>
      </c>
      <c r="B12" t="s">
        <v>100</v>
      </c>
      <c r="C12">
        <v>1</v>
      </c>
      <c r="D12">
        <v>2</v>
      </c>
      <c r="E12" t="str">
        <f>IF(団体登録!A25&lt;&gt;"",団体登録!A25,"")</f>
        <v/>
      </c>
      <c r="F12">
        <f>C11</f>
        <v>1</v>
      </c>
      <c r="G12">
        <f t="shared" ref="G12:G50" si="0">D12</f>
        <v>2</v>
      </c>
      <c r="R12" t="s">
        <v>393</v>
      </c>
    </row>
    <row r="13" spans="1:18" x14ac:dyDescent="0.4">
      <c r="A13">
        <v>4</v>
      </c>
      <c r="B13" t="s">
        <v>101</v>
      </c>
      <c r="C13">
        <v>1</v>
      </c>
      <c r="D13">
        <v>3</v>
      </c>
      <c r="E13" t="str">
        <f>IF(団体登録!A26&lt;&gt;"",団体登録!A26,"")</f>
        <v/>
      </c>
      <c r="F13">
        <f>C12</f>
        <v>1</v>
      </c>
      <c r="G13">
        <f t="shared" si="0"/>
        <v>3</v>
      </c>
      <c r="R13" t="s">
        <v>405</v>
      </c>
    </row>
    <row r="14" spans="1:18" x14ac:dyDescent="0.4">
      <c r="A14">
        <v>5</v>
      </c>
      <c r="B14" t="s">
        <v>102</v>
      </c>
      <c r="C14">
        <f>IF(D15&lt;&gt;"",2,"")</f>
        <v>2</v>
      </c>
      <c r="D14">
        <v>4</v>
      </c>
      <c r="E14" t="str">
        <f>IF(団体登録!A27&lt;&gt;"",団体登録!A27,"")</f>
        <v/>
      </c>
      <c r="F14">
        <f>C13</f>
        <v>1</v>
      </c>
      <c r="G14">
        <f t="shared" si="0"/>
        <v>4</v>
      </c>
      <c r="R14" t="s">
        <v>394</v>
      </c>
    </row>
    <row r="15" spans="1:18" x14ac:dyDescent="0.4">
      <c r="A15">
        <v>6</v>
      </c>
      <c r="B15" t="s">
        <v>103</v>
      </c>
      <c r="C15">
        <f t="shared" ref="C15:C49" si="1">IF(D16&lt;&gt;"",2,"")</f>
        <v>2</v>
      </c>
      <c r="D15">
        <f t="shared" ref="D15:D50" si="2">IF(E15&lt;&gt;"",A10,"")</f>
        <v>1</v>
      </c>
      <c r="E15" t="str">
        <f>IF(B10&lt;&gt;"",B10,"")</f>
        <v>(株)魚国総本社馬術部</v>
      </c>
      <c r="F15">
        <v>0</v>
      </c>
      <c r="G15">
        <f t="shared" si="0"/>
        <v>1</v>
      </c>
      <c r="R15" t="s">
        <v>395</v>
      </c>
    </row>
    <row r="16" spans="1:18" x14ac:dyDescent="0.4">
      <c r="A16">
        <v>7</v>
      </c>
      <c r="B16" t="s">
        <v>104</v>
      </c>
      <c r="C16">
        <f t="shared" si="1"/>
        <v>2</v>
      </c>
      <c r="D16">
        <f t="shared" si="2"/>
        <v>2</v>
      </c>
      <c r="E16" t="str">
        <f t="shared" ref="E16:E50" si="3">IF(B11&lt;&gt;"",B11,"")</f>
        <v>警視庁乗馬同好会</v>
      </c>
      <c r="F16">
        <v>0</v>
      </c>
      <c r="G16">
        <f t="shared" si="0"/>
        <v>2</v>
      </c>
      <c r="R16" t="s">
        <v>396</v>
      </c>
    </row>
    <row r="17" spans="1:18" x14ac:dyDescent="0.4">
      <c r="A17">
        <v>8</v>
      </c>
      <c r="B17" t="s">
        <v>105</v>
      </c>
      <c r="C17">
        <f t="shared" si="1"/>
        <v>2</v>
      </c>
      <c r="D17">
        <f t="shared" si="2"/>
        <v>3</v>
      </c>
      <c r="E17" t="str">
        <f t="shared" si="3"/>
        <v>皇宮警察本部</v>
      </c>
      <c r="F17">
        <v>0</v>
      </c>
      <c r="G17">
        <f t="shared" si="0"/>
        <v>3</v>
      </c>
      <c r="R17" t="s">
        <v>397</v>
      </c>
    </row>
    <row r="18" spans="1:18" x14ac:dyDescent="0.4">
      <c r="A18">
        <v>9</v>
      </c>
      <c r="B18" t="s">
        <v>106</v>
      </c>
      <c r="C18">
        <f t="shared" si="1"/>
        <v>2</v>
      </c>
      <c r="D18">
        <f t="shared" si="2"/>
        <v>4</v>
      </c>
      <c r="E18" t="str">
        <f t="shared" si="3"/>
        <v>社会人昭和大学ライディングチーム</v>
      </c>
      <c r="F18">
        <v>0</v>
      </c>
      <c r="G18">
        <f t="shared" si="0"/>
        <v>4</v>
      </c>
      <c r="R18" t="s">
        <v>406</v>
      </c>
    </row>
    <row r="19" spans="1:18" x14ac:dyDescent="0.4">
      <c r="A19">
        <v>10</v>
      </c>
      <c r="B19" t="s">
        <v>107</v>
      </c>
      <c r="C19">
        <f t="shared" si="1"/>
        <v>2</v>
      </c>
      <c r="D19">
        <f t="shared" si="2"/>
        <v>5</v>
      </c>
      <c r="E19" t="str">
        <f t="shared" si="3"/>
        <v>衆議院乗馬会</v>
      </c>
      <c r="F19">
        <v>0</v>
      </c>
      <c r="G19">
        <f t="shared" si="0"/>
        <v>5</v>
      </c>
      <c r="R19" t="s">
        <v>407</v>
      </c>
    </row>
    <row r="20" spans="1:18" x14ac:dyDescent="0.4">
      <c r="A20">
        <v>11</v>
      </c>
      <c r="B20" t="s">
        <v>108</v>
      </c>
      <c r="C20">
        <f t="shared" si="1"/>
        <v>2</v>
      </c>
      <c r="D20">
        <f t="shared" si="2"/>
        <v>6</v>
      </c>
      <c r="E20" t="str">
        <f t="shared" si="3"/>
        <v>SOMPOホールディングス馬術部</v>
      </c>
      <c r="F20">
        <v>0</v>
      </c>
      <c r="G20">
        <f t="shared" si="0"/>
        <v>6</v>
      </c>
      <c r="R20" t="s">
        <v>408</v>
      </c>
    </row>
    <row r="21" spans="1:18" x14ac:dyDescent="0.4">
      <c r="A21">
        <v>12</v>
      </c>
      <c r="B21" t="s">
        <v>109</v>
      </c>
      <c r="C21">
        <f t="shared" si="1"/>
        <v>2</v>
      </c>
      <c r="D21">
        <f t="shared" si="2"/>
        <v>7</v>
      </c>
      <c r="E21" t="str">
        <f t="shared" si="3"/>
        <v>東京都庁体育会乗馬部</v>
      </c>
      <c r="F21">
        <v>0</v>
      </c>
      <c r="G21">
        <f t="shared" si="0"/>
        <v>7</v>
      </c>
      <c r="R21" t="s">
        <v>409</v>
      </c>
    </row>
    <row r="22" spans="1:18" x14ac:dyDescent="0.4">
      <c r="A22">
        <v>13</v>
      </c>
      <c r="B22" t="s">
        <v>128</v>
      </c>
      <c r="C22">
        <f t="shared" si="1"/>
        <v>2</v>
      </c>
      <c r="D22">
        <f t="shared" si="2"/>
        <v>8</v>
      </c>
      <c r="E22" t="str">
        <f t="shared" si="3"/>
        <v>特別区文化体育会乗馬部</v>
      </c>
      <c r="F22">
        <v>0</v>
      </c>
      <c r="G22">
        <f t="shared" si="0"/>
        <v>8</v>
      </c>
      <c r="R22" t="s">
        <v>410</v>
      </c>
    </row>
    <row r="23" spans="1:18" x14ac:dyDescent="0.4">
      <c r="A23">
        <v>14</v>
      </c>
      <c r="B23" t="s">
        <v>110</v>
      </c>
      <c r="C23">
        <f t="shared" si="1"/>
        <v>2</v>
      </c>
      <c r="D23">
        <f t="shared" si="2"/>
        <v>9</v>
      </c>
      <c r="E23" t="str">
        <f t="shared" si="3"/>
        <v>トッパン・フォームズ(株)馬術部</v>
      </c>
      <c r="F23">
        <v>0</v>
      </c>
      <c r="G23">
        <f t="shared" si="0"/>
        <v>9</v>
      </c>
      <c r="R23" t="s">
        <v>411</v>
      </c>
    </row>
    <row r="24" spans="1:18" x14ac:dyDescent="0.4">
      <c r="A24">
        <v>15</v>
      </c>
      <c r="B24" t="s">
        <v>111</v>
      </c>
      <c r="C24">
        <f t="shared" si="1"/>
        <v>2</v>
      </c>
      <c r="D24">
        <f t="shared" si="2"/>
        <v>10</v>
      </c>
      <c r="E24" t="str">
        <f t="shared" si="3"/>
        <v>日本アイ・ビー・エム(株)馬術部</v>
      </c>
      <c r="F24">
        <v>0</v>
      </c>
      <c r="G24">
        <f t="shared" si="0"/>
        <v>10</v>
      </c>
      <c r="R24" t="s">
        <v>398</v>
      </c>
    </row>
    <row r="25" spans="1:18" x14ac:dyDescent="0.4">
      <c r="A25">
        <v>16</v>
      </c>
      <c r="B25" t="s">
        <v>112</v>
      </c>
      <c r="C25">
        <f t="shared" si="1"/>
        <v>2</v>
      </c>
      <c r="D25">
        <f t="shared" si="2"/>
        <v>11</v>
      </c>
      <c r="E25" t="str">
        <f t="shared" si="3"/>
        <v>(株)日本馬事普及馬事研究部</v>
      </c>
      <c r="F25">
        <v>0</v>
      </c>
      <c r="G25">
        <f t="shared" si="0"/>
        <v>11</v>
      </c>
      <c r="R25" t="s">
        <v>399</v>
      </c>
    </row>
    <row r="26" spans="1:18" x14ac:dyDescent="0.4">
      <c r="A26">
        <v>17</v>
      </c>
      <c r="B26" t="s">
        <v>113</v>
      </c>
      <c r="C26">
        <f t="shared" si="1"/>
        <v>2</v>
      </c>
      <c r="D26">
        <f t="shared" si="2"/>
        <v>12</v>
      </c>
      <c r="E26" t="str">
        <f t="shared" si="3"/>
        <v>パナソニック馬術部</v>
      </c>
      <c r="F26">
        <v>0</v>
      </c>
      <c r="G26">
        <f t="shared" si="0"/>
        <v>12</v>
      </c>
      <c r="R26" t="s">
        <v>400</v>
      </c>
    </row>
    <row r="27" spans="1:18" x14ac:dyDescent="0.4">
      <c r="A27">
        <v>18</v>
      </c>
      <c r="B27" t="s">
        <v>114</v>
      </c>
      <c r="C27">
        <f t="shared" si="1"/>
        <v>2</v>
      </c>
      <c r="D27">
        <f t="shared" si="2"/>
        <v>13</v>
      </c>
      <c r="E27" t="str">
        <f t="shared" si="3"/>
        <v>パナソニックシステムネットワークス(株)馬術部</v>
      </c>
      <c r="F27">
        <v>0</v>
      </c>
      <c r="G27">
        <f t="shared" si="0"/>
        <v>13</v>
      </c>
      <c r="R27" t="s">
        <v>401</v>
      </c>
    </row>
    <row r="28" spans="1:18" x14ac:dyDescent="0.4">
      <c r="A28">
        <v>19</v>
      </c>
      <c r="B28" t="s">
        <v>115</v>
      </c>
      <c r="C28">
        <f t="shared" si="1"/>
        <v>2</v>
      </c>
      <c r="D28">
        <f t="shared" si="2"/>
        <v>14</v>
      </c>
      <c r="E28" t="str">
        <f t="shared" si="3"/>
        <v>(株)日立国際電気馬術部</v>
      </c>
      <c r="F28">
        <v>0</v>
      </c>
      <c r="G28">
        <f t="shared" si="0"/>
        <v>14</v>
      </c>
      <c r="R28" t="s">
        <v>402</v>
      </c>
    </row>
    <row r="29" spans="1:18" x14ac:dyDescent="0.4">
      <c r="A29">
        <v>20</v>
      </c>
      <c r="B29" t="s">
        <v>116</v>
      </c>
      <c r="C29">
        <f t="shared" si="1"/>
        <v>2</v>
      </c>
      <c r="D29">
        <f t="shared" si="2"/>
        <v>15</v>
      </c>
      <c r="E29" t="str">
        <f t="shared" si="3"/>
        <v>富士通(株)馬術部</v>
      </c>
      <c r="F29">
        <v>0</v>
      </c>
      <c r="G29">
        <f t="shared" si="0"/>
        <v>15</v>
      </c>
      <c r="R29" t="s">
        <v>403</v>
      </c>
    </row>
    <row r="30" spans="1:18" x14ac:dyDescent="0.4">
      <c r="A30">
        <v>21</v>
      </c>
      <c r="B30" t="s">
        <v>117</v>
      </c>
      <c r="C30">
        <f t="shared" si="1"/>
        <v>2</v>
      </c>
      <c r="D30">
        <f t="shared" si="2"/>
        <v>16</v>
      </c>
      <c r="E30" t="str">
        <f t="shared" si="3"/>
        <v>防衛省乗馬同好会</v>
      </c>
      <c r="F30">
        <v>0</v>
      </c>
      <c r="G30">
        <f t="shared" si="0"/>
        <v>16</v>
      </c>
      <c r="R30" t="s">
        <v>404</v>
      </c>
    </row>
    <row r="31" spans="1:18" x14ac:dyDescent="0.4">
      <c r="A31">
        <v>22</v>
      </c>
      <c r="B31" t="s">
        <v>118</v>
      </c>
      <c r="C31">
        <f t="shared" si="1"/>
        <v>2</v>
      </c>
      <c r="D31">
        <f t="shared" si="2"/>
        <v>17</v>
      </c>
      <c r="E31" t="str">
        <f t="shared" si="3"/>
        <v>三井物産(株)乗馬部</v>
      </c>
      <c r="F31">
        <v>0</v>
      </c>
      <c r="G31">
        <f t="shared" si="0"/>
        <v>17</v>
      </c>
      <c r="R31" t="s">
        <v>412</v>
      </c>
    </row>
    <row r="32" spans="1:18" x14ac:dyDescent="0.4">
      <c r="A32">
        <v>23</v>
      </c>
      <c r="B32" t="s">
        <v>119</v>
      </c>
      <c r="C32">
        <f t="shared" si="1"/>
        <v>2</v>
      </c>
      <c r="D32">
        <f t="shared" si="2"/>
        <v>18</v>
      </c>
      <c r="E32" t="str">
        <f t="shared" si="3"/>
        <v>レッキス工業(株)馬術部</v>
      </c>
      <c r="F32">
        <v>0</v>
      </c>
      <c r="G32">
        <f t="shared" si="0"/>
        <v>18</v>
      </c>
    </row>
    <row r="33" spans="1:7" x14ac:dyDescent="0.4">
      <c r="A33">
        <v>24</v>
      </c>
      <c r="B33" t="s">
        <v>120</v>
      </c>
      <c r="C33">
        <f t="shared" si="1"/>
        <v>2</v>
      </c>
      <c r="D33">
        <f t="shared" si="2"/>
        <v>19</v>
      </c>
      <c r="E33" t="str">
        <f t="shared" si="3"/>
        <v>青波馬術愛好会</v>
      </c>
      <c r="F33">
        <v>0</v>
      </c>
      <c r="G33">
        <f t="shared" si="0"/>
        <v>19</v>
      </c>
    </row>
    <row r="34" spans="1:7" x14ac:dyDescent="0.4">
      <c r="A34">
        <v>25</v>
      </c>
      <c r="B34" t="s">
        <v>121</v>
      </c>
      <c r="C34">
        <f t="shared" si="1"/>
        <v>2</v>
      </c>
      <c r="D34">
        <f t="shared" si="2"/>
        <v>20</v>
      </c>
      <c r="E34" t="str">
        <f t="shared" si="3"/>
        <v>伊藤忠商事相互会乗馬部</v>
      </c>
      <c r="F34">
        <v>0</v>
      </c>
      <c r="G34">
        <f t="shared" si="0"/>
        <v>20</v>
      </c>
    </row>
    <row r="35" spans="1:7" x14ac:dyDescent="0.4">
      <c r="A35">
        <v>26</v>
      </c>
      <c r="B35" t="s">
        <v>122</v>
      </c>
      <c r="C35">
        <f t="shared" si="1"/>
        <v>2</v>
      </c>
      <c r="D35">
        <f t="shared" si="2"/>
        <v>21</v>
      </c>
      <c r="E35" t="str">
        <f t="shared" si="3"/>
        <v>茨城県庁乗馬部</v>
      </c>
      <c r="F35">
        <v>0</v>
      </c>
      <c r="G35">
        <f t="shared" si="0"/>
        <v>21</v>
      </c>
    </row>
    <row r="36" spans="1:7" x14ac:dyDescent="0.4">
      <c r="A36">
        <v>27</v>
      </c>
      <c r="B36" t="s">
        <v>123</v>
      </c>
      <c r="C36">
        <f t="shared" si="1"/>
        <v>2</v>
      </c>
      <c r="D36">
        <f t="shared" si="2"/>
        <v>22</v>
      </c>
      <c r="E36" t="str">
        <f t="shared" si="3"/>
        <v>エグゼクティブコーチ(株)馬術部</v>
      </c>
      <c r="F36">
        <v>0</v>
      </c>
      <c r="G36">
        <f t="shared" si="0"/>
        <v>22</v>
      </c>
    </row>
    <row r="37" spans="1:7" x14ac:dyDescent="0.4">
      <c r="A37">
        <v>28</v>
      </c>
      <c r="B37" t="s">
        <v>124</v>
      </c>
      <c r="C37">
        <f t="shared" si="1"/>
        <v>2</v>
      </c>
      <c r="D37">
        <f t="shared" si="2"/>
        <v>23</v>
      </c>
      <c r="E37" t="str">
        <f t="shared" si="3"/>
        <v>NTT馬術部</v>
      </c>
      <c r="F37">
        <v>0</v>
      </c>
      <c r="G37">
        <f t="shared" si="0"/>
        <v>23</v>
      </c>
    </row>
    <row r="38" spans="1:7" x14ac:dyDescent="0.4">
      <c r="A38">
        <v>29</v>
      </c>
      <c r="B38" t="s">
        <v>125</v>
      </c>
      <c r="C38">
        <f t="shared" si="1"/>
        <v>2</v>
      </c>
      <c r="D38">
        <f t="shared" si="2"/>
        <v>24</v>
      </c>
      <c r="E38" t="str">
        <f t="shared" si="3"/>
        <v>グーグル合同会社馬術部</v>
      </c>
      <c r="F38">
        <v>0</v>
      </c>
      <c r="G38">
        <f t="shared" si="0"/>
        <v>24</v>
      </c>
    </row>
    <row r="39" spans="1:7" x14ac:dyDescent="0.4">
      <c r="A39">
        <v>30</v>
      </c>
      <c r="B39" t="s">
        <v>126</v>
      </c>
      <c r="C39">
        <f t="shared" si="1"/>
        <v>2</v>
      </c>
      <c r="D39">
        <f t="shared" si="2"/>
        <v>25</v>
      </c>
      <c r="E39" t="str">
        <f t="shared" si="3"/>
        <v>スリーエムジャパン馬術愛好会</v>
      </c>
      <c r="F39">
        <v>0</v>
      </c>
      <c r="G39">
        <f t="shared" si="0"/>
        <v>25</v>
      </c>
    </row>
    <row r="40" spans="1:7" x14ac:dyDescent="0.4">
      <c r="A40">
        <v>31</v>
      </c>
      <c r="B40" t="s">
        <v>127</v>
      </c>
      <c r="C40">
        <f t="shared" si="1"/>
        <v>2</v>
      </c>
      <c r="D40">
        <f t="shared" si="2"/>
        <v>26</v>
      </c>
      <c r="E40" t="str">
        <f t="shared" si="3"/>
        <v>セゾングループ乗馬部</v>
      </c>
      <c r="F40">
        <v>0</v>
      </c>
      <c r="G40">
        <f t="shared" si="0"/>
        <v>26</v>
      </c>
    </row>
    <row r="41" spans="1:7" x14ac:dyDescent="0.4">
      <c r="A41">
        <v>32</v>
      </c>
      <c r="B41" t="s">
        <v>129</v>
      </c>
      <c r="C41">
        <f t="shared" si="1"/>
        <v>2</v>
      </c>
      <c r="D41">
        <f t="shared" si="2"/>
        <v>27</v>
      </c>
      <c r="E41" t="str">
        <f t="shared" si="3"/>
        <v>ソニー馬術部</v>
      </c>
      <c r="F41">
        <v>0</v>
      </c>
      <c r="G41">
        <f t="shared" si="0"/>
        <v>27</v>
      </c>
    </row>
    <row r="42" spans="1:7" x14ac:dyDescent="0.4">
      <c r="A42">
        <v>33</v>
      </c>
      <c r="C42">
        <f t="shared" si="1"/>
        <v>2</v>
      </c>
      <c r="D42">
        <f t="shared" si="2"/>
        <v>28</v>
      </c>
      <c r="E42" t="str">
        <f t="shared" si="3"/>
        <v>ＴＭＧ 乗馬同好会</v>
      </c>
      <c r="F42">
        <v>0</v>
      </c>
      <c r="G42">
        <f t="shared" si="0"/>
        <v>28</v>
      </c>
    </row>
    <row r="43" spans="1:7" x14ac:dyDescent="0.4">
      <c r="A43">
        <v>34</v>
      </c>
      <c r="C43">
        <f t="shared" si="1"/>
        <v>2</v>
      </c>
      <c r="D43">
        <f t="shared" si="2"/>
        <v>29</v>
      </c>
      <c r="E43" t="str">
        <f t="shared" si="3"/>
        <v>税理士法人山田＆パートナーズ乗馬同好会</v>
      </c>
      <c r="F43">
        <v>0</v>
      </c>
      <c r="G43">
        <f t="shared" si="0"/>
        <v>29</v>
      </c>
    </row>
    <row r="44" spans="1:7" x14ac:dyDescent="0.4">
      <c r="A44">
        <v>35</v>
      </c>
      <c r="C44">
        <f t="shared" si="1"/>
        <v>2</v>
      </c>
      <c r="D44">
        <f t="shared" si="2"/>
        <v>30</v>
      </c>
      <c r="E44" t="str">
        <f t="shared" si="3"/>
        <v>(株)ワールドマーケット乗馬部</v>
      </c>
      <c r="F44">
        <v>0</v>
      </c>
      <c r="G44">
        <f t="shared" si="0"/>
        <v>30</v>
      </c>
    </row>
    <row r="45" spans="1:7" x14ac:dyDescent="0.4">
      <c r="A45">
        <v>36</v>
      </c>
      <c r="C45">
        <f t="shared" si="1"/>
        <v>2</v>
      </c>
      <c r="D45">
        <f t="shared" si="2"/>
        <v>31</v>
      </c>
      <c r="E45" t="str">
        <f t="shared" si="3"/>
        <v>YS乗馬同好会</v>
      </c>
      <c r="F45">
        <v>0</v>
      </c>
      <c r="G45">
        <f t="shared" si="0"/>
        <v>31</v>
      </c>
    </row>
    <row r="46" spans="1:7" x14ac:dyDescent="0.4">
      <c r="A46">
        <v>37</v>
      </c>
      <c r="C46" t="str">
        <f t="shared" si="1"/>
        <v/>
      </c>
      <c r="D46">
        <f t="shared" si="2"/>
        <v>32</v>
      </c>
      <c r="E46" t="str">
        <f t="shared" si="3"/>
        <v>(株)三菱総合研究所馬術部</v>
      </c>
      <c r="F46">
        <v>0</v>
      </c>
      <c r="G46">
        <f t="shared" si="0"/>
        <v>32</v>
      </c>
    </row>
    <row r="47" spans="1:7" x14ac:dyDescent="0.4">
      <c r="A47">
        <v>38</v>
      </c>
      <c r="C47" t="str">
        <f t="shared" si="1"/>
        <v/>
      </c>
      <c r="D47" t="str">
        <f t="shared" si="2"/>
        <v/>
      </c>
      <c r="E47" t="str">
        <f t="shared" si="3"/>
        <v/>
      </c>
      <c r="F47" t="str">
        <f>C46</f>
        <v/>
      </c>
      <c r="G47" t="str">
        <f t="shared" si="0"/>
        <v/>
      </c>
    </row>
    <row r="48" spans="1:7" x14ac:dyDescent="0.4">
      <c r="A48">
        <v>39</v>
      </c>
      <c r="C48" t="str">
        <f t="shared" si="1"/>
        <v/>
      </c>
      <c r="D48" t="str">
        <f t="shared" si="2"/>
        <v/>
      </c>
      <c r="E48" t="str">
        <f t="shared" si="3"/>
        <v/>
      </c>
      <c r="F48" t="str">
        <f>C47</f>
        <v/>
      </c>
      <c r="G48" t="str">
        <f t="shared" si="0"/>
        <v/>
      </c>
    </row>
    <row r="49" spans="1:7" x14ac:dyDescent="0.4">
      <c r="A49">
        <v>40</v>
      </c>
      <c r="C49" t="str">
        <f t="shared" si="1"/>
        <v/>
      </c>
      <c r="D49" t="str">
        <f t="shared" si="2"/>
        <v/>
      </c>
      <c r="E49" t="str">
        <f t="shared" si="3"/>
        <v/>
      </c>
      <c r="F49" t="str">
        <f>C48</f>
        <v/>
      </c>
      <c r="G49" t="str">
        <f t="shared" si="0"/>
        <v/>
      </c>
    </row>
    <row r="50" spans="1:7" x14ac:dyDescent="0.4">
      <c r="D50" t="str">
        <f t="shared" si="2"/>
        <v/>
      </c>
      <c r="E50" t="str">
        <f t="shared" si="3"/>
        <v/>
      </c>
      <c r="F50" t="str">
        <f>C49</f>
        <v/>
      </c>
      <c r="G50" t="str">
        <f t="shared" si="0"/>
        <v/>
      </c>
    </row>
  </sheetData>
  <sheetProtection algorithmName="SHA-512" hashValue="pWIbUze6AjygNplCqDU6wRCXIM56BVfMe30MGi08mq+Om5tmZkO5EG89SvyFWUlgVr8QqKxvW7E+FX8nRkJWpw==" saltValue="pvwvoxao5faRysDqOSYJvA==" spinCount="100000" sheet="1" objects="1" scenarios="1"/>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7515-1CF5-42DF-9634-75F63D45F5BC}">
  <sheetPr codeName="Sheet4">
    <tabColor rgb="FF00B0F0"/>
    <pageSetUpPr fitToPage="1"/>
  </sheetPr>
  <dimension ref="A1:AG50"/>
  <sheetViews>
    <sheetView view="pageBreakPreview" zoomScaleNormal="100" zoomScaleSheetLayoutView="100" workbookViewId="0">
      <pane xSplit="4" ySplit="4" topLeftCell="E5" activePane="bottomRight" state="frozen"/>
      <selection activeCell="M20" sqref="M20"/>
      <selection pane="topRight" activeCell="M20" sqref="M20"/>
      <selection pane="bottomLeft" activeCell="M20" sqref="M20"/>
      <selection pane="bottomRight" activeCell="AH20" sqref="AH20"/>
    </sheetView>
  </sheetViews>
  <sheetFormatPr defaultRowHeight="18.75" x14ac:dyDescent="0.4"/>
  <cols>
    <col min="1" max="1" width="13.625" customWidth="1"/>
    <col min="2" max="2" width="5.25" style="1" bestFit="1" customWidth="1"/>
    <col min="3" max="3" width="33.75" customWidth="1"/>
    <col min="4" max="4" width="10.125" customWidth="1"/>
    <col min="5" max="7" width="4.75" style="1" hidden="1" customWidth="1"/>
    <col min="8" max="11" width="6.75" customWidth="1"/>
    <col min="12" max="12" width="25.625" customWidth="1"/>
    <col min="13" max="13" width="9" customWidth="1"/>
    <col min="14" max="15" width="4.75" style="119" hidden="1" customWidth="1"/>
    <col min="16" max="16" width="29.125" style="121" hidden="1" customWidth="1"/>
    <col min="17" max="17" width="22.375" style="121" hidden="1" customWidth="1"/>
    <col min="18" max="18" width="9" style="121" hidden="1" customWidth="1"/>
    <col min="19" max="20" width="4.75" style="119" hidden="1" customWidth="1"/>
    <col min="21" max="21" width="3.125" style="110" hidden="1" customWidth="1"/>
    <col min="22" max="22" width="2.75" style="110" hidden="1" customWidth="1"/>
    <col min="23" max="25" width="6.5" hidden="1" customWidth="1"/>
    <col min="26" max="26" width="8" hidden="1" customWidth="1"/>
    <col min="27" max="27" width="18.75" hidden="1" customWidth="1"/>
    <col min="28" max="28" width="18.375" hidden="1" customWidth="1"/>
    <col min="29" max="29" width="13" hidden="1" customWidth="1"/>
    <col min="30" max="30" width="18.75" hidden="1" customWidth="1"/>
    <col min="31" max="31" width="9.375" hidden="1" customWidth="1"/>
    <col min="32" max="32" width="18.75" hidden="1" customWidth="1"/>
    <col min="33" max="33" width="9" hidden="1" customWidth="1"/>
  </cols>
  <sheetData>
    <row r="1" spans="1:32" ht="24.75" customHeight="1" x14ac:dyDescent="0.4">
      <c r="A1" s="274" t="str">
        <f>"第"&amp;設定!B2&amp;"回 キャロットステークス 競技一覧"</f>
        <v>第40回 キャロットステークス 競技一覧</v>
      </c>
      <c r="B1" s="274"/>
      <c r="C1" s="274"/>
      <c r="D1" s="274"/>
      <c r="E1" s="274"/>
      <c r="F1" s="274"/>
      <c r="G1" s="274"/>
      <c r="H1" s="274"/>
      <c r="I1" s="274"/>
      <c r="J1" s="274"/>
      <c r="K1" s="274"/>
      <c r="L1" s="274"/>
      <c r="AA1" s="99" t="s">
        <v>334</v>
      </c>
      <c r="AB1" s="99" t="s">
        <v>252</v>
      </c>
      <c r="AC1" s="99" t="s">
        <v>335</v>
      </c>
      <c r="AD1" s="99" t="s">
        <v>336</v>
      </c>
      <c r="AE1" s="99" t="s">
        <v>341</v>
      </c>
      <c r="AF1" s="99" t="s">
        <v>342</v>
      </c>
    </row>
    <row r="2" spans="1:32" ht="19.5" thickBot="1" x14ac:dyDescent="0.45">
      <c r="H2" s="288" t="s">
        <v>302</v>
      </c>
      <c r="I2" s="289"/>
      <c r="J2" s="289"/>
      <c r="K2" s="289"/>
      <c r="L2" s="289"/>
      <c r="AA2" s="99" t="s">
        <v>337</v>
      </c>
      <c r="AB2" s="99" t="s">
        <v>338</v>
      </c>
      <c r="AC2" s="99" t="s">
        <v>339</v>
      </c>
      <c r="AD2" s="99" t="s">
        <v>340</v>
      </c>
      <c r="AE2" s="99"/>
      <c r="AF2" s="99"/>
    </row>
    <row r="3" spans="1:32" ht="40.5" customHeight="1" x14ac:dyDescent="0.4">
      <c r="A3" s="303" t="s">
        <v>0</v>
      </c>
      <c r="B3" s="305" t="s">
        <v>28</v>
      </c>
      <c r="C3" s="302" t="s">
        <v>27</v>
      </c>
      <c r="D3" s="302" t="s">
        <v>2</v>
      </c>
      <c r="E3" s="305" t="s">
        <v>22</v>
      </c>
      <c r="F3" s="308" t="s">
        <v>10</v>
      </c>
      <c r="G3" s="305" t="s">
        <v>25</v>
      </c>
      <c r="H3" s="301" t="s">
        <v>135</v>
      </c>
      <c r="I3" s="302"/>
      <c r="J3" s="302"/>
      <c r="K3" s="302"/>
      <c r="L3" s="52"/>
      <c r="N3" s="219" t="s">
        <v>231</v>
      </c>
    </row>
    <row r="4" spans="1:32" s="1" customFormat="1" ht="37.5" x14ac:dyDescent="0.4">
      <c r="A4" s="304"/>
      <c r="B4" s="306"/>
      <c r="C4" s="307"/>
      <c r="D4" s="307"/>
      <c r="E4" s="306"/>
      <c r="F4" s="306"/>
      <c r="G4" s="306"/>
      <c r="H4" s="5" t="s">
        <v>7</v>
      </c>
      <c r="I4" s="61" t="s">
        <v>8</v>
      </c>
      <c r="J4" s="6" t="s">
        <v>134</v>
      </c>
      <c r="K4" s="5" t="s">
        <v>26</v>
      </c>
      <c r="L4" s="7" t="s">
        <v>29</v>
      </c>
      <c r="N4" s="213" t="s">
        <v>207</v>
      </c>
      <c r="O4" s="213" t="s">
        <v>208</v>
      </c>
      <c r="P4" s="214" t="s">
        <v>332</v>
      </c>
      <c r="Q4" s="214" t="s">
        <v>209</v>
      </c>
      <c r="R4" s="214" t="s">
        <v>210</v>
      </c>
      <c r="S4" s="213" t="s">
        <v>207</v>
      </c>
      <c r="T4" s="213" t="s">
        <v>208</v>
      </c>
      <c r="U4" s="213" t="s">
        <v>216</v>
      </c>
      <c r="V4" s="213" t="s">
        <v>217</v>
      </c>
      <c r="W4" s="215" t="s">
        <v>211</v>
      </c>
      <c r="X4" s="216" t="s">
        <v>201</v>
      </c>
      <c r="Y4" s="216" t="s">
        <v>212</v>
      </c>
      <c r="Z4" s="216" t="s">
        <v>213</v>
      </c>
      <c r="AA4" s="100" t="s">
        <v>333</v>
      </c>
    </row>
    <row r="5" spans="1:32" x14ac:dyDescent="0.4">
      <c r="A5" s="297" t="s">
        <v>1</v>
      </c>
      <c r="B5" s="8" t="str">
        <f>N5</f>
        <v>A</v>
      </c>
      <c r="C5" s="9" t="str">
        <f>Q5</f>
        <v>フレンドシップ80</v>
      </c>
      <c r="D5" s="9" t="str">
        <f>R5</f>
        <v>-</v>
      </c>
      <c r="E5" s="8">
        <f>O5</f>
        <v>1</v>
      </c>
      <c r="F5" s="8" t="str">
        <f t="shared" ref="F5:K5" si="0">U5</f>
        <v>N</v>
      </c>
      <c r="G5" s="8" t="str">
        <f t="shared" si="0"/>
        <v>N</v>
      </c>
      <c r="H5" s="277">
        <f t="shared" si="0"/>
        <v>5000</v>
      </c>
      <c r="I5" s="279">
        <f t="shared" si="0"/>
        <v>4000</v>
      </c>
      <c r="J5" s="281"/>
      <c r="K5" s="8" t="str">
        <f t="shared" si="0"/>
        <v>-</v>
      </c>
      <c r="L5" s="10"/>
      <c r="N5" s="215" t="s">
        <v>214</v>
      </c>
      <c r="O5" s="215">
        <v>1</v>
      </c>
      <c r="P5" s="217" t="str">
        <f>"("&amp;S5&amp;") "&amp;IF(R5&lt;&gt;"-",Q5&amp;"("&amp;R5&amp;")",Q5)</f>
        <v>(A) フレンドシップ80</v>
      </c>
      <c r="Q5" s="217" t="s">
        <v>140</v>
      </c>
      <c r="R5" s="217" t="s">
        <v>11</v>
      </c>
      <c r="S5" s="215" t="str">
        <f>N5</f>
        <v>A</v>
      </c>
      <c r="T5" s="215">
        <f>O5</f>
        <v>1</v>
      </c>
      <c r="U5" s="218" t="s">
        <v>19</v>
      </c>
      <c r="V5" s="218" t="s">
        <v>19</v>
      </c>
      <c r="W5" s="99">
        <v>5000</v>
      </c>
      <c r="X5" s="99">
        <v>4000</v>
      </c>
      <c r="Y5" s="99">
        <v>4000</v>
      </c>
      <c r="Z5" s="99" t="s">
        <v>11</v>
      </c>
      <c r="AA5" s="99" t="str">
        <f>$AD$1</f>
        <v>リスト!$H$2:$H$4</v>
      </c>
    </row>
    <row r="6" spans="1:32" x14ac:dyDescent="0.4">
      <c r="A6" s="298"/>
      <c r="B6" s="11" t="str">
        <f t="shared" ref="B6:B50" si="1">N6</f>
        <v>B</v>
      </c>
      <c r="C6" s="12" t="str">
        <f t="shared" ref="C6:C50" si="2">Q6</f>
        <v>フレンドシップ100</v>
      </c>
      <c r="D6" s="12" t="str">
        <f t="shared" ref="D6:D50" si="3">R6</f>
        <v>-</v>
      </c>
      <c r="E6" s="11">
        <f t="shared" ref="E6:E50" si="4">O6</f>
        <v>2</v>
      </c>
      <c r="F6" s="11" t="str">
        <f t="shared" ref="F6:F50" si="5">U6</f>
        <v>N</v>
      </c>
      <c r="G6" s="11" t="str">
        <f t="shared" ref="G6:G50" si="6">V6</f>
        <v>N</v>
      </c>
      <c r="H6" s="295"/>
      <c r="I6" s="282"/>
      <c r="J6" s="284"/>
      <c r="K6" s="11" t="str">
        <f t="shared" ref="K6:K41" si="7">Z6</f>
        <v>-</v>
      </c>
      <c r="L6" s="13"/>
      <c r="N6" s="215" t="s">
        <v>215</v>
      </c>
      <c r="O6" s="215">
        <v>2</v>
      </c>
      <c r="P6" s="217" t="str">
        <f t="shared" ref="P6:P50" si="8">"("&amp;S6&amp;") "&amp;IF(R6&lt;&gt;"-",Q6&amp;"("&amp;R6&amp;")",Q6)</f>
        <v>(B) フレンドシップ100</v>
      </c>
      <c r="Q6" s="217" t="s">
        <v>218</v>
      </c>
      <c r="R6" s="217" t="s">
        <v>11</v>
      </c>
      <c r="S6" s="215" t="str">
        <f t="shared" ref="S6:S50" si="9">N6</f>
        <v>B</v>
      </c>
      <c r="T6" s="215">
        <f t="shared" ref="T6:T50" si="10">O6</f>
        <v>2</v>
      </c>
      <c r="U6" s="218" t="s">
        <v>19</v>
      </c>
      <c r="V6" s="218" t="s">
        <v>19</v>
      </c>
      <c r="W6" s="99">
        <v>5000</v>
      </c>
      <c r="X6" s="99">
        <v>4000</v>
      </c>
      <c r="Y6" s="99">
        <v>4000</v>
      </c>
      <c r="Z6" s="99" t="s">
        <v>11</v>
      </c>
      <c r="AA6" s="99" t="str">
        <f>$AD$1</f>
        <v>リスト!$H$2:$H$4</v>
      </c>
    </row>
    <row r="7" spans="1:32" x14ac:dyDescent="0.4">
      <c r="A7" s="297" t="s">
        <v>23</v>
      </c>
      <c r="B7" s="8">
        <f t="shared" si="1"/>
        <v>1</v>
      </c>
      <c r="C7" s="9" t="str">
        <f t="shared" si="2"/>
        <v xml:space="preserve">ジムカーナ競技 </v>
      </c>
      <c r="D7" s="9" t="str">
        <f t="shared" si="3"/>
        <v>一般</v>
      </c>
      <c r="E7" s="8">
        <f t="shared" si="4"/>
        <v>3</v>
      </c>
      <c r="F7" s="8" t="str">
        <f t="shared" si="5"/>
        <v>N</v>
      </c>
      <c r="G7" s="8" t="str">
        <f t="shared" si="6"/>
        <v>Y</v>
      </c>
      <c r="H7" s="8">
        <f t="shared" ref="H7:H49" si="11">W7</f>
        <v>6000</v>
      </c>
      <c r="I7" s="290">
        <f t="shared" ref="I7:I49" si="12">X7</f>
        <v>5000</v>
      </c>
      <c r="J7" s="296"/>
      <c r="K7" s="291"/>
      <c r="L7" s="10"/>
      <c r="N7" s="215">
        <v>1</v>
      </c>
      <c r="O7" s="215">
        <v>3</v>
      </c>
      <c r="P7" s="217" t="str">
        <f t="shared" si="8"/>
        <v>(1) ジムカーナ競技 (一般)</v>
      </c>
      <c r="Q7" s="217" t="s">
        <v>132</v>
      </c>
      <c r="R7" s="217" t="s">
        <v>7</v>
      </c>
      <c r="S7" s="215">
        <f t="shared" si="9"/>
        <v>1</v>
      </c>
      <c r="T7" s="215">
        <f t="shared" si="10"/>
        <v>3</v>
      </c>
      <c r="U7" s="218" t="s">
        <v>19</v>
      </c>
      <c r="V7" s="218" t="s">
        <v>16</v>
      </c>
      <c r="W7" s="99">
        <v>6000</v>
      </c>
      <c r="X7" s="99">
        <v>5000</v>
      </c>
      <c r="Y7" s="99">
        <v>5000</v>
      </c>
      <c r="Z7" s="99">
        <v>5000</v>
      </c>
      <c r="AA7" s="99" t="str">
        <f>$AB$1</f>
        <v>リスト!$H$2:$H$5</v>
      </c>
    </row>
    <row r="8" spans="1:32" x14ac:dyDescent="0.4">
      <c r="A8" s="298"/>
      <c r="B8" s="11">
        <f t="shared" si="1"/>
        <v>1</v>
      </c>
      <c r="C8" s="12" t="str">
        <f t="shared" si="2"/>
        <v xml:space="preserve">ジムカーナ競技 </v>
      </c>
      <c r="D8" s="62" t="str">
        <f t="shared" si="3"/>
        <v>チルドレン</v>
      </c>
      <c r="E8" s="11">
        <f t="shared" si="4"/>
        <v>4</v>
      </c>
      <c r="F8" s="11" t="str">
        <f t="shared" si="5"/>
        <v>N</v>
      </c>
      <c r="G8" s="11" t="str">
        <f t="shared" si="6"/>
        <v>N</v>
      </c>
      <c r="H8" s="11" t="str">
        <f t="shared" si="11"/>
        <v>-</v>
      </c>
      <c r="I8" s="11" t="str">
        <f t="shared" si="12"/>
        <v>-</v>
      </c>
      <c r="J8" s="11">
        <f t="shared" ref="J8:J41" si="13">Y8</f>
        <v>5000</v>
      </c>
      <c r="K8" s="11" t="str">
        <f t="shared" si="7"/>
        <v>-</v>
      </c>
      <c r="L8" s="66" t="s">
        <v>136</v>
      </c>
      <c r="N8" s="215">
        <v>1</v>
      </c>
      <c r="O8" s="215">
        <v>4</v>
      </c>
      <c r="P8" s="217" t="str">
        <f t="shared" si="8"/>
        <v>(1) ジムカーナ競技 (チルドレン)</v>
      </c>
      <c r="Q8" s="217" t="s">
        <v>132</v>
      </c>
      <c r="R8" s="217" t="s">
        <v>3</v>
      </c>
      <c r="S8" s="215">
        <f t="shared" si="9"/>
        <v>1</v>
      </c>
      <c r="T8" s="215">
        <f t="shared" si="10"/>
        <v>4</v>
      </c>
      <c r="U8" s="218" t="s">
        <v>19</v>
      </c>
      <c r="V8" s="218" t="s">
        <v>19</v>
      </c>
      <c r="W8" s="99" t="s">
        <v>11</v>
      </c>
      <c r="X8" s="99" t="s">
        <v>11</v>
      </c>
      <c r="Y8" s="99">
        <v>5000</v>
      </c>
      <c r="Z8" s="99" t="s">
        <v>11</v>
      </c>
      <c r="AA8" s="99" t="str">
        <f>$AF$1</f>
        <v>リスト!$H$4:$H$4</v>
      </c>
    </row>
    <row r="9" spans="1:32" x14ac:dyDescent="0.4">
      <c r="A9" s="298"/>
      <c r="B9" s="2">
        <f t="shared" si="1"/>
        <v>2</v>
      </c>
      <c r="C9" s="3" t="str">
        <f t="shared" si="2"/>
        <v xml:space="preserve">ビギナーズジャンプ競技 </v>
      </c>
      <c r="D9" s="3" t="str">
        <f t="shared" si="3"/>
        <v>-</v>
      </c>
      <c r="E9" s="2">
        <f t="shared" si="4"/>
        <v>5</v>
      </c>
      <c r="F9" s="2" t="str">
        <f t="shared" si="5"/>
        <v>N</v>
      </c>
      <c r="G9" s="2" t="str">
        <f t="shared" si="6"/>
        <v>Y</v>
      </c>
      <c r="H9" s="277">
        <f t="shared" si="11"/>
        <v>6000</v>
      </c>
      <c r="I9" s="279">
        <f t="shared" si="12"/>
        <v>5000</v>
      </c>
      <c r="J9" s="280"/>
      <c r="K9" s="281"/>
      <c r="L9" s="4"/>
      <c r="N9" s="215">
        <v>2</v>
      </c>
      <c r="O9" s="215">
        <v>5</v>
      </c>
      <c r="P9" s="217" t="str">
        <f t="shared" si="8"/>
        <v xml:space="preserve">(2) ビギナーズジャンプ競技 </v>
      </c>
      <c r="Q9" s="217" t="s">
        <v>141</v>
      </c>
      <c r="R9" s="217" t="s">
        <v>11</v>
      </c>
      <c r="S9" s="215">
        <f t="shared" si="9"/>
        <v>2</v>
      </c>
      <c r="T9" s="215">
        <f t="shared" si="10"/>
        <v>5</v>
      </c>
      <c r="U9" s="218" t="s">
        <v>19</v>
      </c>
      <c r="V9" s="218" t="s">
        <v>16</v>
      </c>
      <c r="W9" s="99">
        <v>6000</v>
      </c>
      <c r="X9" s="99">
        <v>5000</v>
      </c>
      <c r="Y9" s="99">
        <v>5000</v>
      </c>
      <c r="Z9" s="99">
        <v>5000</v>
      </c>
      <c r="AA9" s="99" t="str">
        <f t="shared" ref="AA9:AA23" si="14">$AB$1</f>
        <v>リスト!$H$2:$H$5</v>
      </c>
    </row>
    <row r="10" spans="1:32" x14ac:dyDescent="0.4">
      <c r="A10" s="298"/>
      <c r="B10" s="45">
        <f t="shared" si="1"/>
        <v>3</v>
      </c>
      <c r="C10" s="24" t="str">
        <f t="shared" si="2"/>
        <v>小障害60cmクラス</v>
      </c>
      <c r="D10" s="24" t="str">
        <f t="shared" si="3"/>
        <v>-</v>
      </c>
      <c r="E10" s="45">
        <f t="shared" si="4"/>
        <v>6</v>
      </c>
      <c r="F10" s="45" t="str">
        <f t="shared" si="5"/>
        <v>N</v>
      </c>
      <c r="G10" s="45" t="str">
        <f t="shared" si="6"/>
        <v>Y</v>
      </c>
      <c r="H10" s="295"/>
      <c r="I10" s="282"/>
      <c r="J10" s="283"/>
      <c r="K10" s="284"/>
      <c r="L10" s="25"/>
      <c r="N10" s="215">
        <v>3</v>
      </c>
      <c r="O10" s="215">
        <v>6</v>
      </c>
      <c r="P10" s="217" t="str">
        <f t="shared" si="8"/>
        <v>(3) 小障害60cmクラス</v>
      </c>
      <c r="Q10" s="217" t="s">
        <v>219</v>
      </c>
      <c r="R10" s="217" t="s">
        <v>11</v>
      </c>
      <c r="S10" s="215">
        <f t="shared" si="9"/>
        <v>3</v>
      </c>
      <c r="T10" s="215">
        <f t="shared" si="10"/>
        <v>6</v>
      </c>
      <c r="U10" s="218" t="s">
        <v>19</v>
      </c>
      <c r="V10" s="218" t="s">
        <v>16</v>
      </c>
      <c r="W10" s="99">
        <v>6000</v>
      </c>
      <c r="X10" s="99">
        <v>5000</v>
      </c>
      <c r="Y10" s="99">
        <v>5000</v>
      </c>
      <c r="Z10" s="99">
        <v>5000</v>
      </c>
      <c r="AA10" s="99" t="str">
        <f t="shared" si="14"/>
        <v>リスト!$H$2:$H$5</v>
      </c>
    </row>
    <row r="11" spans="1:32" x14ac:dyDescent="0.4">
      <c r="A11" s="298"/>
      <c r="B11" s="2">
        <f t="shared" si="1"/>
        <v>4</v>
      </c>
      <c r="C11" s="3" t="str">
        <f t="shared" si="2"/>
        <v>小障害70cmクラス</v>
      </c>
      <c r="D11" s="3" t="str">
        <f t="shared" si="3"/>
        <v>-</v>
      </c>
      <c r="E11" s="2">
        <f t="shared" si="4"/>
        <v>7</v>
      </c>
      <c r="F11" s="2" t="str">
        <f t="shared" si="5"/>
        <v>N</v>
      </c>
      <c r="G11" s="2" t="str">
        <f t="shared" si="6"/>
        <v>Y</v>
      </c>
      <c r="H11" s="277">
        <f t="shared" si="11"/>
        <v>8000</v>
      </c>
      <c r="I11" s="279">
        <f t="shared" si="12"/>
        <v>6000</v>
      </c>
      <c r="J11" s="280"/>
      <c r="K11" s="281"/>
      <c r="L11" s="4"/>
      <c r="N11" s="215">
        <v>4</v>
      </c>
      <c r="O11" s="215">
        <v>7</v>
      </c>
      <c r="P11" s="217" t="str">
        <f t="shared" si="8"/>
        <v>(4) 小障害70cmクラス</v>
      </c>
      <c r="Q11" s="217" t="s">
        <v>220</v>
      </c>
      <c r="R11" s="217" t="s">
        <v>11</v>
      </c>
      <c r="S11" s="215">
        <f t="shared" si="9"/>
        <v>4</v>
      </c>
      <c r="T11" s="215">
        <f t="shared" si="10"/>
        <v>7</v>
      </c>
      <c r="U11" s="218" t="s">
        <v>19</v>
      </c>
      <c r="V11" s="218" t="s">
        <v>16</v>
      </c>
      <c r="W11" s="99">
        <v>8000</v>
      </c>
      <c r="X11" s="99">
        <v>6000</v>
      </c>
      <c r="Y11" s="99">
        <v>6000</v>
      </c>
      <c r="Z11" s="99">
        <v>6000</v>
      </c>
      <c r="AA11" s="99" t="str">
        <f t="shared" si="14"/>
        <v>リスト!$H$2:$H$5</v>
      </c>
    </row>
    <row r="12" spans="1:32" x14ac:dyDescent="0.4">
      <c r="A12" s="298"/>
      <c r="B12" s="45">
        <f t="shared" si="1"/>
        <v>5</v>
      </c>
      <c r="C12" s="24" t="str">
        <f t="shared" si="2"/>
        <v>小障害80cmクラス</v>
      </c>
      <c r="D12" s="24" t="str">
        <f t="shared" si="3"/>
        <v>-</v>
      </c>
      <c r="E12" s="45">
        <f t="shared" si="4"/>
        <v>8</v>
      </c>
      <c r="F12" s="45" t="str">
        <f t="shared" si="5"/>
        <v>N</v>
      </c>
      <c r="G12" s="45" t="str">
        <f t="shared" si="6"/>
        <v>Y</v>
      </c>
      <c r="H12" s="295"/>
      <c r="I12" s="282"/>
      <c r="J12" s="283"/>
      <c r="K12" s="284"/>
      <c r="L12" s="25"/>
      <c r="N12" s="215">
        <v>5</v>
      </c>
      <c r="O12" s="215">
        <v>8</v>
      </c>
      <c r="P12" s="217" t="str">
        <f t="shared" si="8"/>
        <v>(5) 小障害80cmクラス</v>
      </c>
      <c r="Q12" s="217" t="s">
        <v>221</v>
      </c>
      <c r="R12" s="217" t="s">
        <v>11</v>
      </c>
      <c r="S12" s="215">
        <f t="shared" si="9"/>
        <v>5</v>
      </c>
      <c r="T12" s="215">
        <f t="shared" si="10"/>
        <v>8</v>
      </c>
      <c r="U12" s="218" t="s">
        <v>19</v>
      </c>
      <c r="V12" s="218" t="s">
        <v>16</v>
      </c>
      <c r="W12" s="99">
        <v>8000</v>
      </c>
      <c r="X12" s="99">
        <v>6000</v>
      </c>
      <c r="Y12" s="99">
        <v>6000</v>
      </c>
      <c r="Z12" s="99">
        <v>6000</v>
      </c>
      <c r="AA12" s="99" t="str">
        <f t="shared" si="14"/>
        <v>リスト!$H$2:$H$5</v>
      </c>
    </row>
    <row r="13" spans="1:32" x14ac:dyDescent="0.4">
      <c r="A13" s="298"/>
      <c r="B13" s="2">
        <f t="shared" si="1"/>
        <v>6</v>
      </c>
      <c r="C13" s="3" t="str">
        <f t="shared" si="2"/>
        <v>小障害90cmクラス</v>
      </c>
      <c r="D13" s="3" t="str">
        <f t="shared" si="3"/>
        <v>-</v>
      </c>
      <c r="E13" s="2">
        <f t="shared" si="4"/>
        <v>9</v>
      </c>
      <c r="F13" s="2" t="str">
        <f t="shared" si="5"/>
        <v>N</v>
      </c>
      <c r="G13" s="2" t="str">
        <f t="shared" si="6"/>
        <v>Y</v>
      </c>
      <c r="H13" s="277">
        <f t="shared" si="11"/>
        <v>10000</v>
      </c>
      <c r="I13" s="279">
        <f t="shared" si="12"/>
        <v>8000</v>
      </c>
      <c r="J13" s="280"/>
      <c r="K13" s="281"/>
      <c r="L13" s="4"/>
      <c r="N13" s="215">
        <v>6</v>
      </c>
      <c r="O13" s="215">
        <v>9</v>
      </c>
      <c r="P13" s="217" t="str">
        <f t="shared" si="8"/>
        <v>(6) 小障害90cmクラス</v>
      </c>
      <c r="Q13" s="217" t="s">
        <v>222</v>
      </c>
      <c r="R13" s="217" t="s">
        <v>11</v>
      </c>
      <c r="S13" s="215">
        <f t="shared" si="9"/>
        <v>6</v>
      </c>
      <c r="T13" s="215">
        <f t="shared" si="10"/>
        <v>9</v>
      </c>
      <c r="U13" s="218" t="s">
        <v>19</v>
      </c>
      <c r="V13" s="218" t="s">
        <v>16</v>
      </c>
      <c r="W13" s="99">
        <v>10000</v>
      </c>
      <c r="X13" s="99">
        <v>8000</v>
      </c>
      <c r="Y13" s="99">
        <v>8000</v>
      </c>
      <c r="Z13" s="99">
        <v>8000</v>
      </c>
      <c r="AA13" s="99" t="str">
        <f t="shared" si="14"/>
        <v>リスト!$H$2:$H$5</v>
      </c>
    </row>
    <row r="14" spans="1:32" x14ac:dyDescent="0.4">
      <c r="A14" s="298"/>
      <c r="B14" s="45">
        <f t="shared" si="1"/>
        <v>7</v>
      </c>
      <c r="C14" s="24" t="str">
        <f t="shared" si="2"/>
        <v>小障害100cmクラス</v>
      </c>
      <c r="D14" s="24" t="str">
        <f t="shared" si="3"/>
        <v>-</v>
      </c>
      <c r="E14" s="45">
        <f t="shared" si="4"/>
        <v>10</v>
      </c>
      <c r="F14" s="45" t="str">
        <f t="shared" si="5"/>
        <v>N</v>
      </c>
      <c r="G14" s="45" t="str">
        <f t="shared" si="6"/>
        <v>Y</v>
      </c>
      <c r="H14" s="295"/>
      <c r="I14" s="282"/>
      <c r="J14" s="283"/>
      <c r="K14" s="284"/>
      <c r="L14" s="25"/>
      <c r="N14" s="215">
        <v>7</v>
      </c>
      <c r="O14" s="215">
        <v>10</v>
      </c>
      <c r="P14" s="217" t="str">
        <f t="shared" si="8"/>
        <v>(7) 小障害100cmクラス</v>
      </c>
      <c r="Q14" s="217" t="s">
        <v>223</v>
      </c>
      <c r="R14" s="217" t="s">
        <v>11</v>
      </c>
      <c r="S14" s="215">
        <f t="shared" si="9"/>
        <v>7</v>
      </c>
      <c r="T14" s="215">
        <f t="shared" si="10"/>
        <v>10</v>
      </c>
      <c r="U14" s="218" t="s">
        <v>19</v>
      </c>
      <c r="V14" s="218" t="s">
        <v>16</v>
      </c>
      <c r="W14" s="99">
        <v>10000</v>
      </c>
      <c r="X14" s="99">
        <v>8000</v>
      </c>
      <c r="Y14" s="99">
        <v>8000</v>
      </c>
      <c r="Z14" s="99">
        <v>8000</v>
      </c>
      <c r="AA14" s="99" t="str">
        <f t="shared" si="14"/>
        <v>リスト!$H$2:$H$5</v>
      </c>
    </row>
    <row r="15" spans="1:32" x14ac:dyDescent="0.4">
      <c r="A15" s="298"/>
      <c r="B15" s="53">
        <f t="shared" si="1"/>
        <v>8</v>
      </c>
      <c r="C15" s="54" t="str">
        <f t="shared" si="2"/>
        <v>中障害D 110cmクラス</v>
      </c>
      <c r="D15" s="54" t="str">
        <f t="shared" si="3"/>
        <v>-</v>
      </c>
      <c r="E15" s="2">
        <f t="shared" si="4"/>
        <v>11</v>
      </c>
      <c r="F15" s="53" t="str">
        <f t="shared" si="5"/>
        <v>N</v>
      </c>
      <c r="G15" s="53" t="str">
        <f t="shared" si="6"/>
        <v>Y</v>
      </c>
      <c r="H15" s="277">
        <f t="shared" si="11"/>
        <v>12000</v>
      </c>
      <c r="I15" s="279">
        <f t="shared" si="12"/>
        <v>10000</v>
      </c>
      <c r="J15" s="280"/>
      <c r="K15" s="281"/>
      <c r="L15" s="55"/>
      <c r="N15" s="215">
        <v>8</v>
      </c>
      <c r="O15" s="215">
        <v>11</v>
      </c>
      <c r="P15" s="217" t="str">
        <f t="shared" si="8"/>
        <v>(8) 中障害D 110cmクラス</v>
      </c>
      <c r="Q15" s="217" t="s">
        <v>224</v>
      </c>
      <c r="R15" s="217" t="s">
        <v>11</v>
      </c>
      <c r="S15" s="215">
        <f t="shared" si="9"/>
        <v>8</v>
      </c>
      <c r="T15" s="215">
        <f t="shared" si="10"/>
        <v>11</v>
      </c>
      <c r="U15" s="218" t="s">
        <v>19</v>
      </c>
      <c r="V15" s="218" t="s">
        <v>16</v>
      </c>
      <c r="W15" s="99">
        <v>12000</v>
      </c>
      <c r="X15" s="99">
        <v>10000</v>
      </c>
      <c r="Y15" s="99">
        <v>10000</v>
      </c>
      <c r="Z15" s="99">
        <v>10000</v>
      </c>
      <c r="AA15" s="99" t="str">
        <f t="shared" si="14"/>
        <v>リスト!$H$2:$H$5</v>
      </c>
    </row>
    <row r="16" spans="1:32" x14ac:dyDescent="0.4">
      <c r="A16" s="298"/>
      <c r="B16" s="45">
        <f t="shared" si="1"/>
        <v>9</v>
      </c>
      <c r="C16" s="24" t="str">
        <f t="shared" si="2"/>
        <v>中障害C 120cmクラス</v>
      </c>
      <c r="D16" s="24" t="str">
        <f t="shared" si="3"/>
        <v>-</v>
      </c>
      <c r="E16" s="8">
        <f t="shared" si="4"/>
        <v>12</v>
      </c>
      <c r="F16" s="45" t="str">
        <f t="shared" si="5"/>
        <v>N</v>
      </c>
      <c r="G16" s="45" t="str">
        <f t="shared" si="6"/>
        <v>Y</v>
      </c>
      <c r="H16" s="295"/>
      <c r="I16" s="282"/>
      <c r="J16" s="283"/>
      <c r="K16" s="284"/>
      <c r="L16" s="25"/>
      <c r="N16" s="215">
        <v>9</v>
      </c>
      <c r="O16" s="215">
        <v>12</v>
      </c>
      <c r="P16" s="217" t="str">
        <f t="shared" si="8"/>
        <v>(9) 中障害C 120cmクラス</v>
      </c>
      <c r="Q16" s="217" t="s">
        <v>225</v>
      </c>
      <c r="R16" s="217" t="s">
        <v>11</v>
      </c>
      <c r="S16" s="215">
        <f t="shared" si="9"/>
        <v>9</v>
      </c>
      <c r="T16" s="215">
        <f t="shared" si="10"/>
        <v>12</v>
      </c>
      <c r="U16" s="218" t="s">
        <v>19</v>
      </c>
      <c r="V16" s="218" t="s">
        <v>16</v>
      </c>
      <c r="W16" s="99">
        <v>12000</v>
      </c>
      <c r="X16" s="99">
        <v>10000</v>
      </c>
      <c r="Y16" s="99">
        <v>10000</v>
      </c>
      <c r="Z16" s="99">
        <v>10000</v>
      </c>
      <c r="AA16" s="99" t="str">
        <f t="shared" si="14"/>
        <v>リスト!$H$2:$H$5</v>
      </c>
    </row>
    <row r="17" spans="1:27" x14ac:dyDescent="0.4">
      <c r="A17" s="298"/>
      <c r="B17" s="2">
        <f t="shared" si="1"/>
        <v>10</v>
      </c>
      <c r="C17" s="56" t="str">
        <f t="shared" si="2"/>
        <v>A1課目馬場馬術競技</v>
      </c>
      <c r="D17" s="3" t="str">
        <f t="shared" si="3"/>
        <v>-</v>
      </c>
      <c r="E17" s="8">
        <f t="shared" si="4"/>
        <v>13</v>
      </c>
      <c r="F17" s="2" t="str">
        <f t="shared" si="5"/>
        <v>N</v>
      </c>
      <c r="G17" s="2" t="str">
        <f t="shared" si="6"/>
        <v>Y</v>
      </c>
      <c r="H17" s="277">
        <f t="shared" si="11"/>
        <v>9000</v>
      </c>
      <c r="I17" s="279">
        <f t="shared" si="12"/>
        <v>7000</v>
      </c>
      <c r="J17" s="280"/>
      <c r="K17" s="281"/>
      <c r="L17" s="4"/>
      <c r="N17" s="215">
        <v>10</v>
      </c>
      <c r="O17" s="215">
        <v>13</v>
      </c>
      <c r="P17" s="217" t="str">
        <f t="shared" si="8"/>
        <v>(10) A1課目馬場馬術競技</v>
      </c>
      <c r="Q17" s="217" t="s">
        <v>17</v>
      </c>
      <c r="R17" s="217" t="s">
        <v>11</v>
      </c>
      <c r="S17" s="215">
        <f t="shared" si="9"/>
        <v>10</v>
      </c>
      <c r="T17" s="215">
        <f t="shared" si="10"/>
        <v>13</v>
      </c>
      <c r="U17" s="218" t="s">
        <v>19</v>
      </c>
      <c r="V17" s="218" t="s">
        <v>16</v>
      </c>
      <c r="W17" s="99">
        <v>9000</v>
      </c>
      <c r="X17" s="99">
        <v>7000</v>
      </c>
      <c r="Y17" s="99">
        <v>7000</v>
      </c>
      <c r="Z17" s="99">
        <v>7000</v>
      </c>
      <c r="AA17" s="99" t="str">
        <f t="shared" si="14"/>
        <v>リスト!$H$2:$H$5</v>
      </c>
    </row>
    <row r="18" spans="1:27" x14ac:dyDescent="0.4">
      <c r="A18" s="298"/>
      <c r="B18" s="45">
        <f t="shared" si="1"/>
        <v>11</v>
      </c>
      <c r="C18" s="60" t="str">
        <f t="shared" si="2"/>
        <v>A2課目馬場馬術競技</v>
      </c>
      <c r="D18" s="24" t="str">
        <f t="shared" si="3"/>
        <v>-</v>
      </c>
      <c r="E18" s="45">
        <f t="shared" si="4"/>
        <v>14</v>
      </c>
      <c r="F18" s="45" t="str">
        <f t="shared" si="5"/>
        <v>N</v>
      </c>
      <c r="G18" s="45" t="str">
        <f t="shared" si="6"/>
        <v>Y</v>
      </c>
      <c r="H18" s="294"/>
      <c r="I18" s="292"/>
      <c r="J18" s="275"/>
      <c r="K18" s="293"/>
      <c r="L18" s="25"/>
      <c r="N18" s="215">
        <v>11</v>
      </c>
      <c r="O18" s="215">
        <v>14</v>
      </c>
      <c r="P18" s="217" t="str">
        <f t="shared" si="8"/>
        <v>(11) A2課目馬場馬術競技</v>
      </c>
      <c r="Q18" s="217" t="s">
        <v>13</v>
      </c>
      <c r="R18" s="217" t="s">
        <v>11</v>
      </c>
      <c r="S18" s="215">
        <f t="shared" si="9"/>
        <v>11</v>
      </c>
      <c r="T18" s="215">
        <f t="shared" si="10"/>
        <v>14</v>
      </c>
      <c r="U18" s="218" t="s">
        <v>19</v>
      </c>
      <c r="V18" s="218" t="s">
        <v>16</v>
      </c>
      <c r="W18" s="99">
        <v>9000</v>
      </c>
      <c r="X18" s="99">
        <v>7000</v>
      </c>
      <c r="Y18" s="99">
        <v>7000</v>
      </c>
      <c r="Z18" s="99">
        <v>7000</v>
      </c>
      <c r="AA18" s="99" t="str">
        <f t="shared" si="14"/>
        <v>リスト!$H$2:$H$5</v>
      </c>
    </row>
    <row r="19" spans="1:27" x14ac:dyDescent="0.4">
      <c r="A19" s="298"/>
      <c r="B19" s="2">
        <f t="shared" si="1"/>
        <v>12</v>
      </c>
      <c r="C19" s="56" t="str">
        <f t="shared" si="2"/>
        <v>A3課目馬場馬術競技</v>
      </c>
      <c r="D19" s="3" t="str">
        <f t="shared" si="3"/>
        <v>-</v>
      </c>
      <c r="E19" s="2">
        <f t="shared" si="4"/>
        <v>15</v>
      </c>
      <c r="F19" s="2" t="str">
        <f t="shared" si="5"/>
        <v>N</v>
      </c>
      <c r="G19" s="2" t="str">
        <f t="shared" si="6"/>
        <v>Y</v>
      </c>
      <c r="H19" s="295"/>
      <c r="I19" s="282"/>
      <c r="J19" s="283"/>
      <c r="K19" s="284"/>
      <c r="L19" s="4"/>
      <c r="N19" s="215">
        <v>12</v>
      </c>
      <c r="O19" s="215">
        <v>15</v>
      </c>
      <c r="P19" s="217" t="str">
        <f t="shared" si="8"/>
        <v>(12) A3課目馬場馬術競技</v>
      </c>
      <c r="Q19" s="217" t="s">
        <v>226</v>
      </c>
      <c r="R19" s="217" t="s">
        <v>11</v>
      </c>
      <c r="S19" s="215">
        <f t="shared" si="9"/>
        <v>12</v>
      </c>
      <c r="T19" s="215">
        <f t="shared" si="10"/>
        <v>15</v>
      </c>
      <c r="U19" s="218" t="s">
        <v>19</v>
      </c>
      <c r="V19" s="218" t="s">
        <v>16</v>
      </c>
      <c r="W19" s="99">
        <v>9000</v>
      </c>
      <c r="X19" s="99">
        <v>7000</v>
      </c>
      <c r="Y19" s="99">
        <v>7000</v>
      </c>
      <c r="Z19" s="99">
        <v>7000</v>
      </c>
      <c r="AA19" s="99" t="str">
        <f t="shared" si="14"/>
        <v>リスト!$H$2:$H$5</v>
      </c>
    </row>
    <row r="20" spans="1:27" x14ac:dyDescent="0.4">
      <c r="A20" s="298"/>
      <c r="B20" s="45">
        <f t="shared" si="1"/>
        <v>13</v>
      </c>
      <c r="C20" s="60" t="str">
        <f t="shared" si="2"/>
        <v>FEI総合1スター馬場馬術競技</v>
      </c>
      <c r="D20" s="24" t="str">
        <f t="shared" si="3"/>
        <v>-</v>
      </c>
      <c r="E20" s="45">
        <f t="shared" si="4"/>
        <v>16</v>
      </c>
      <c r="F20" s="45" t="str">
        <f t="shared" si="5"/>
        <v>N</v>
      </c>
      <c r="G20" s="45" t="str">
        <f t="shared" si="6"/>
        <v>Y</v>
      </c>
      <c r="H20" s="277">
        <f t="shared" si="11"/>
        <v>11000</v>
      </c>
      <c r="I20" s="279">
        <f t="shared" si="12"/>
        <v>9000</v>
      </c>
      <c r="J20" s="280"/>
      <c r="K20" s="281"/>
      <c r="L20" s="25"/>
      <c r="N20" s="215">
        <v>13</v>
      </c>
      <c r="O20" s="215">
        <v>16</v>
      </c>
      <c r="P20" s="217" t="str">
        <f t="shared" si="8"/>
        <v>(13) FEI総合1スター馬場馬術競技</v>
      </c>
      <c r="Q20" s="217" t="s">
        <v>18</v>
      </c>
      <c r="R20" s="217" t="s">
        <v>11</v>
      </c>
      <c r="S20" s="215">
        <f t="shared" si="9"/>
        <v>13</v>
      </c>
      <c r="T20" s="215">
        <f t="shared" si="10"/>
        <v>16</v>
      </c>
      <c r="U20" s="218" t="s">
        <v>19</v>
      </c>
      <c r="V20" s="218" t="s">
        <v>16</v>
      </c>
      <c r="W20" s="99">
        <v>11000</v>
      </c>
      <c r="X20" s="99">
        <v>9000</v>
      </c>
      <c r="Y20" s="99">
        <v>9000</v>
      </c>
      <c r="Z20" s="99">
        <v>9000</v>
      </c>
      <c r="AA20" s="99" t="str">
        <f t="shared" si="14"/>
        <v>リスト!$H$2:$H$5</v>
      </c>
    </row>
    <row r="21" spans="1:27" x14ac:dyDescent="0.4">
      <c r="A21" s="298"/>
      <c r="B21" s="45">
        <f t="shared" si="1"/>
        <v>14</v>
      </c>
      <c r="C21" s="60" t="str">
        <f t="shared" si="2"/>
        <v>L1課目馬場馬術競技</v>
      </c>
      <c r="D21" s="24" t="str">
        <f t="shared" si="3"/>
        <v>-</v>
      </c>
      <c r="E21" s="8">
        <f t="shared" si="4"/>
        <v>17</v>
      </c>
      <c r="F21" s="45" t="str">
        <f t="shared" si="5"/>
        <v>N</v>
      </c>
      <c r="G21" s="45" t="str">
        <f t="shared" si="6"/>
        <v>Y</v>
      </c>
      <c r="H21" s="294"/>
      <c r="I21" s="292"/>
      <c r="J21" s="275"/>
      <c r="K21" s="293"/>
      <c r="L21" s="25"/>
      <c r="N21" s="215">
        <v>14</v>
      </c>
      <c r="O21" s="215">
        <v>17</v>
      </c>
      <c r="P21" s="217" t="str">
        <f t="shared" si="8"/>
        <v>(14) L1課目馬場馬術競技</v>
      </c>
      <c r="Q21" s="217" t="s">
        <v>227</v>
      </c>
      <c r="R21" s="217" t="s">
        <v>11</v>
      </c>
      <c r="S21" s="215">
        <f t="shared" si="9"/>
        <v>14</v>
      </c>
      <c r="T21" s="215">
        <f t="shared" si="10"/>
        <v>17</v>
      </c>
      <c r="U21" s="218" t="s">
        <v>19</v>
      </c>
      <c r="V21" s="218" t="s">
        <v>16</v>
      </c>
      <c r="W21" s="99">
        <v>11000</v>
      </c>
      <c r="X21" s="99">
        <v>9000</v>
      </c>
      <c r="Y21" s="99">
        <v>9000</v>
      </c>
      <c r="Z21" s="99">
        <v>9000</v>
      </c>
      <c r="AA21" s="99" t="str">
        <f t="shared" si="14"/>
        <v>リスト!$H$2:$H$5</v>
      </c>
    </row>
    <row r="22" spans="1:27" x14ac:dyDescent="0.4">
      <c r="A22" s="298"/>
      <c r="B22" s="45">
        <f t="shared" si="1"/>
        <v>15</v>
      </c>
      <c r="C22" s="24" t="str">
        <f t="shared" si="2"/>
        <v>学生賞典馬場馬術競技</v>
      </c>
      <c r="D22" s="24" t="str">
        <f t="shared" si="3"/>
        <v>-</v>
      </c>
      <c r="E22" s="8">
        <f t="shared" si="4"/>
        <v>18</v>
      </c>
      <c r="F22" s="45" t="str">
        <f t="shared" si="5"/>
        <v>N</v>
      </c>
      <c r="G22" s="45" t="str">
        <f t="shared" si="6"/>
        <v>Y</v>
      </c>
      <c r="H22" s="294"/>
      <c r="I22" s="292"/>
      <c r="J22" s="275"/>
      <c r="K22" s="293"/>
      <c r="L22" s="25"/>
      <c r="N22" s="215">
        <v>15</v>
      </c>
      <c r="O22" s="215">
        <v>18</v>
      </c>
      <c r="P22" s="217" t="str">
        <f t="shared" si="8"/>
        <v>(15) 学生賞典馬場馬術競技</v>
      </c>
      <c r="Q22" s="217" t="s">
        <v>375</v>
      </c>
      <c r="R22" s="217" t="s">
        <v>11</v>
      </c>
      <c r="S22" s="215">
        <f t="shared" si="9"/>
        <v>15</v>
      </c>
      <c r="T22" s="215">
        <f t="shared" si="10"/>
        <v>18</v>
      </c>
      <c r="U22" s="218" t="s">
        <v>19</v>
      </c>
      <c r="V22" s="218" t="s">
        <v>16</v>
      </c>
      <c r="W22" s="99">
        <v>11000</v>
      </c>
      <c r="X22" s="99">
        <v>9000</v>
      </c>
      <c r="Y22" s="99">
        <v>9000</v>
      </c>
      <c r="Z22" s="99">
        <v>9000</v>
      </c>
      <c r="AA22" s="99" t="str">
        <f t="shared" si="14"/>
        <v>リスト!$H$2:$H$5</v>
      </c>
    </row>
    <row r="23" spans="1:27" x14ac:dyDescent="0.4">
      <c r="A23" s="298"/>
      <c r="B23" s="45">
        <f t="shared" si="1"/>
        <v>16</v>
      </c>
      <c r="C23" s="24" t="str">
        <f t="shared" si="2"/>
        <v>自由選択課目</v>
      </c>
      <c r="D23" s="24" t="str">
        <f t="shared" si="3"/>
        <v>-</v>
      </c>
      <c r="E23" s="45">
        <f t="shared" si="4"/>
        <v>19</v>
      </c>
      <c r="F23" s="45" t="str">
        <f t="shared" si="5"/>
        <v>N</v>
      </c>
      <c r="G23" s="45" t="str">
        <f t="shared" si="6"/>
        <v>Y</v>
      </c>
      <c r="H23" s="295"/>
      <c r="I23" s="282"/>
      <c r="J23" s="283"/>
      <c r="K23" s="284"/>
      <c r="L23" s="25"/>
      <c r="N23" s="215">
        <v>16</v>
      </c>
      <c r="O23" s="215">
        <v>19</v>
      </c>
      <c r="P23" s="217" t="str">
        <f t="shared" si="8"/>
        <v>(16) 自由選択課目</v>
      </c>
      <c r="Q23" s="217" t="s">
        <v>15</v>
      </c>
      <c r="R23" s="217" t="s">
        <v>11</v>
      </c>
      <c r="S23" s="215">
        <f t="shared" si="9"/>
        <v>16</v>
      </c>
      <c r="T23" s="215">
        <f t="shared" si="10"/>
        <v>19</v>
      </c>
      <c r="U23" s="218" t="s">
        <v>19</v>
      </c>
      <c r="V23" s="218" t="s">
        <v>316</v>
      </c>
      <c r="W23" s="99">
        <v>11000</v>
      </c>
      <c r="X23" s="99">
        <v>9000</v>
      </c>
      <c r="Y23" s="99">
        <v>9000</v>
      </c>
      <c r="Z23" s="99">
        <v>9000</v>
      </c>
      <c r="AA23" s="99" t="str">
        <f t="shared" si="14"/>
        <v>リスト!$H$2:$H$5</v>
      </c>
    </row>
    <row r="24" spans="1:27" x14ac:dyDescent="0.4">
      <c r="A24" s="298"/>
      <c r="B24" s="53">
        <f t="shared" si="1"/>
        <v>17</v>
      </c>
      <c r="C24" s="59" t="str">
        <f t="shared" si="2"/>
        <v>L1課目馬場馬術競技</v>
      </c>
      <c r="D24" s="54" t="str">
        <f t="shared" si="3"/>
        <v>公認</v>
      </c>
      <c r="E24" s="2">
        <f t="shared" si="4"/>
        <v>20</v>
      </c>
      <c r="F24" s="53" t="str">
        <f t="shared" si="5"/>
        <v>Y</v>
      </c>
      <c r="G24" s="53" t="str">
        <f t="shared" si="6"/>
        <v>N</v>
      </c>
      <c r="H24" s="277">
        <f t="shared" si="11"/>
        <v>13000</v>
      </c>
      <c r="I24" s="279" t="str">
        <f t="shared" si="12"/>
        <v>-</v>
      </c>
      <c r="J24" s="280"/>
      <c r="K24" s="281"/>
      <c r="L24" s="55"/>
      <c r="N24" s="215">
        <v>17</v>
      </c>
      <c r="O24" s="215">
        <v>20</v>
      </c>
      <c r="P24" s="217" t="str">
        <f t="shared" si="8"/>
        <v>(17) L1課目馬場馬術競技(公認)</v>
      </c>
      <c r="Q24" s="217" t="s">
        <v>227</v>
      </c>
      <c r="R24" s="217" t="s">
        <v>9</v>
      </c>
      <c r="S24" s="215">
        <f t="shared" si="9"/>
        <v>17</v>
      </c>
      <c r="T24" s="215">
        <f t="shared" si="10"/>
        <v>20</v>
      </c>
      <c r="U24" s="218" t="s">
        <v>16</v>
      </c>
      <c r="V24" s="218" t="s">
        <v>19</v>
      </c>
      <c r="W24" s="99">
        <v>13000</v>
      </c>
      <c r="X24" s="99" t="s">
        <v>11</v>
      </c>
      <c r="Y24" s="99" t="s">
        <v>11</v>
      </c>
      <c r="Z24" s="99" t="s">
        <v>11</v>
      </c>
      <c r="AA24" s="99" t="str">
        <f>$AB$2</f>
        <v>リスト!$H$2:$H$2</v>
      </c>
    </row>
    <row r="25" spans="1:27" x14ac:dyDescent="0.4">
      <c r="A25" s="298"/>
      <c r="B25" s="45">
        <f t="shared" si="1"/>
        <v>18</v>
      </c>
      <c r="C25" s="24" t="str">
        <f t="shared" si="2"/>
        <v>M1課目馬場馬術競技</v>
      </c>
      <c r="D25" s="24" t="str">
        <f t="shared" si="3"/>
        <v>公認</v>
      </c>
      <c r="E25" s="8">
        <f t="shared" si="4"/>
        <v>21</v>
      </c>
      <c r="F25" s="45" t="str">
        <f t="shared" si="5"/>
        <v>Y</v>
      </c>
      <c r="G25" s="45" t="str">
        <f t="shared" si="6"/>
        <v>N</v>
      </c>
      <c r="H25" s="295"/>
      <c r="I25" s="282"/>
      <c r="J25" s="283"/>
      <c r="K25" s="284"/>
      <c r="L25" s="25"/>
      <c r="N25" s="215">
        <v>18</v>
      </c>
      <c r="O25" s="215">
        <v>21</v>
      </c>
      <c r="P25" s="217" t="str">
        <f t="shared" si="8"/>
        <v>(18) M1課目馬場馬術競技(公認)</v>
      </c>
      <c r="Q25" s="217" t="s">
        <v>14</v>
      </c>
      <c r="R25" s="217" t="s">
        <v>9</v>
      </c>
      <c r="S25" s="215">
        <f t="shared" si="9"/>
        <v>18</v>
      </c>
      <c r="T25" s="215">
        <f t="shared" si="10"/>
        <v>21</v>
      </c>
      <c r="U25" s="218" t="s">
        <v>16</v>
      </c>
      <c r="V25" s="218" t="s">
        <v>19</v>
      </c>
      <c r="W25" s="99">
        <v>13000</v>
      </c>
      <c r="X25" s="99" t="s">
        <v>11</v>
      </c>
      <c r="Y25" s="99" t="s">
        <v>11</v>
      </c>
      <c r="Z25" s="99" t="s">
        <v>11</v>
      </c>
      <c r="AA25" s="99" t="str">
        <f>$AB$2</f>
        <v>リスト!$H$2:$H$2</v>
      </c>
    </row>
    <row r="26" spans="1:27" x14ac:dyDescent="0.4">
      <c r="A26" s="299"/>
      <c r="B26" s="53">
        <f t="shared" si="1"/>
        <v>19</v>
      </c>
      <c r="C26" s="54" t="str">
        <f t="shared" si="2"/>
        <v>JBGキャロット選手権(馬場)</v>
      </c>
      <c r="D26" s="54" t="str">
        <f t="shared" si="3"/>
        <v>-</v>
      </c>
      <c r="E26" s="8">
        <f t="shared" si="4"/>
        <v>22</v>
      </c>
      <c r="F26" s="53" t="str">
        <f t="shared" si="5"/>
        <v>N</v>
      </c>
      <c r="G26" s="53" t="str">
        <f t="shared" si="6"/>
        <v>N</v>
      </c>
      <c r="H26" s="53" t="str">
        <f t="shared" si="11"/>
        <v>-</v>
      </c>
      <c r="I26" s="53">
        <f t="shared" si="12"/>
        <v>11000</v>
      </c>
      <c r="J26" s="53" t="str">
        <f t="shared" si="13"/>
        <v>-</v>
      </c>
      <c r="K26" s="53" t="str">
        <f t="shared" si="7"/>
        <v>-</v>
      </c>
      <c r="L26" s="72" t="s">
        <v>143</v>
      </c>
      <c r="N26" s="215">
        <v>19</v>
      </c>
      <c r="O26" s="215">
        <v>22</v>
      </c>
      <c r="P26" s="217" t="str">
        <f t="shared" si="8"/>
        <v>(19) JBGキャロット選手権(馬場)</v>
      </c>
      <c r="Q26" s="217" t="s">
        <v>51</v>
      </c>
      <c r="R26" s="217" t="s">
        <v>11</v>
      </c>
      <c r="S26" s="215">
        <f t="shared" si="9"/>
        <v>19</v>
      </c>
      <c r="T26" s="215">
        <f t="shared" si="10"/>
        <v>22</v>
      </c>
      <c r="U26" s="218" t="s">
        <v>19</v>
      </c>
      <c r="V26" s="218" t="s">
        <v>19</v>
      </c>
      <c r="W26" s="99" t="s">
        <v>11</v>
      </c>
      <c r="X26" s="99">
        <v>11000</v>
      </c>
      <c r="Y26" s="99" t="s">
        <v>11</v>
      </c>
      <c r="Z26" s="99" t="s">
        <v>11</v>
      </c>
      <c r="AA26" s="99" t="str">
        <f>$AD$2</f>
        <v>リスト!$H$3:$H$3</v>
      </c>
    </row>
    <row r="27" spans="1:27" x14ac:dyDescent="0.4">
      <c r="A27" s="297" t="s">
        <v>24</v>
      </c>
      <c r="B27" s="8">
        <f t="shared" si="1"/>
        <v>20</v>
      </c>
      <c r="C27" s="9" t="str">
        <f t="shared" si="2"/>
        <v xml:space="preserve">ジムカーナ競技 </v>
      </c>
      <c r="D27" s="9" t="str">
        <f t="shared" si="3"/>
        <v>一般</v>
      </c>
      <c r="E27" s="8">
        <f t="shared" si="4"/>
        <v>23</v>
      </c>
      <c r="F27" s="8" t="str">
        <f t="shared" si="5"/>
        <v>N</v>
      </c>
      <c r="G27" s="8" t="str">
        <f t="shared" si="6"/>
        <v>Y</v>
      </c>
      <c r="H27" s="8">
        <f t="shared" si="11"/>
        <v>6000</v>
      </c>
      <c r="I27" s="290">
        <f t="shared" si="12"/>
        <v>5000</v>
      </c>
      <c r="J27" s="296"/>
      <c r="K27" s="291"/>
      <c r="L27" s="10"/>
      <c r="N27" s="215">
        <v>20</v>
      </c>
      <c r="O27" s="215">
        <v>23</v>
      </c>
      <c r="P27" s="217" t="str">
        <f t="shared" si="8"/>
        <v>(20) ジムカーナ競技 (一般)</v>
      </c>
      <c r="Q27" s="217" t="s">
        <v>132</v>
      </c>
      <c r="R27" s="217" t="s">
        <v>7</v>
      </c>
      <c r="S27" s="215">
        <f t="shared" si="9"/>
        <v>20</v>
      </c>
      <c r="T27" s="215">
        <f t="shared" si="10"/>
        <v>23</v>
      </c>
      <c r="U27" s="218" t="s">
        <v>19</v>
      </c>
      <c r="V27" s="218" t="s">
        <v>16</v>
      </c>
      <c r="W27" s="99">
        <v>6000</v>
      </c>
      <c r="X27" s="99">
        <v>5000</v>
      </c>
      <c r="Y27" s="99">
        <v>5000</v>
      </c>
      <c r="Z27" s="99">
        <v>5000</v>
      </c>
      <c r="AA27" s="99" t="str">
        <f>$AB$1</f>
        <v>リスト!$H$2:$H$5</v>
      </c>
    </row>
    <row r="28" spans="1:27" x14ac:dyDescent="0.4">
      <c r="A28" s="298"/>
      <c r="B28" s="11">
        <f t="shared" si="1"/>
        <v>20</v>
      </c>
      <c r="C28" s="12" t="str">
        <f t="shared" si="2"/>
        <v xml:space="preserve">ジムカーナ競技 </v>
      </c>
      <c r="D28" s="62" t="str">
        <f t="shared" si="3"/>
        <v>チルドレン</v>
      </c>
      <c r="E28" s="11">
        <f t="shared" si="4"/>
        <v>24</v>
      </c>
      <c r="F28" s="11" t="str">
        <f t="shared" si="5"/>
        <v>N</v>
      </c>
      <c r="G28" s="11" t="str">
        <f t="shared" si="6"/>
        <v>N</v>
      </c>
      <c r="H28" s="11" t="str">
        <f t="shared" si="11"/>
        <v>-</v>
      </c>
      <c r="I28" s="11" t="str">
        <f t="shared" si="12"/>
        <v>-</v>
      </c>
      <c r="J28" s="11">
        <f t="shared" si="13"/>
        <v>5000</v>
      </c>
      <c r="K28" s="11" t="str">
        <f t="shared" si="7"/>
        <v>-</v>
      </c>
      <c r="L28" s="66" t="s">
        <v>136</v>
      </c>
      <c r="N28" s="215">
        <v>20</v>
      </c>
      <c r="O28" s="215">
        <v>24</v>
      </c>
      <c r="P28" s="217" t="str">
        <f t="shared" si="8"/>
        <v>(20) ジムカーナ競技 (チルドレン)</v>
      </c>
      <c r="Q28" s="217" t="s">
        <v>132</v>
      </c>
      <c r="R28" s="217" t="s">
        <v>3</v>
      </c>
      <c r="S28" s="215">
        <f t="shared" si="9"/>
        <v>20</v>
      </c>
      <c r="T28" s="215">
        <f t="shared" si="10"/>
        <v>24</v>
      </c>
      <c r="U28" s="218" t="s">
        <v>19</v>
      </c>
      <c r="V28" s="218" t="s">
        <v>19</v>
      </c>
      <c r="W28" s="99" t="s">
        <v>11</v>
      </c>
      <c r="X28" s="99" t="s">
        <v>11</v>
      </c>
      <c r="Y28" s="99">
        <v>5000</v>
      </c>
      <c r="Z28" s="99" t="s">
        <v>11</v>
      </c>
      <c r="AA28" s="99" t="str">
        <f>$AF$1</f>
        <v>リスト!$H$4:$H$4</v>
      </c>
    </row>
    <row r="29" spans="1:27" x14ac:dyDescent="0.4">
      <c r="A29" s="298"/>
      <c r="B29" s="45">
        <f t="shared" si="1"/>
        <v>21</v>
      </c>
      <c r="C29" s="24" t="str">
        <f t="shared" si="2"/>
        <v xml:space="preserve">ビギナーズジャンプ競技 </v>
      </c>
      <c r="D29" s="24" t="str">
        <f t="shared" si="3"/>
        <v>-</v>
      </c>
      <c r="E29" s="45">
        <f t="shared" si="4"/>
        <v>25</v>
      </c>
      <c r="F29" s="45" t="str">
        <f t="shared" si="5"/>
        <v>N</v>
      </c>
      <c r="G29" s="45" t="str">
        <f t="shared" si="6"/>
        <v>Y</v>
      </c>
      <c r="H29" s="277">
        <f t="shared" si="11"/>
        <v>6000</v>
      </c>
      <c r="I29" s="279">
        <f t="shared" si="12"/>
        <v>5000</v>
      </c>
      <c r="J29" s="280"/>
      <c r="K29" s="281"/>
      <c r="L29" s="25"/>
      <c r="N29" s="215">
        <v>21</v>
      </c>
      <c r="O29" s="215">
        <v>25</v>
      </c>
      <c r="P29" s="217" t="str">
        <f t="shared" si="8"/>
        <v xml:space="preserve">(21) ビギナーズジャンプ競技 </v>
      </c>
      <c r="Q29" s="217" t="s">
        <v>141</v>
      </c>
      <c r="R29" s="217" t="s">
        <v>11</v>
      </c>
      <c r="S29" s="215">
        <f t="shared" si="9"/>
        <v>21</v>
      </c>
      <c r="T29" s="215">
        <f t="shared" si="10"/>
        <v>25</v>
      </c>
      <c r="U29" s="218" t="s">
        <v>19</v>
      </c>
      <c r="V29" s="218" t="s">
        <v>16</v>
      </c>
      <c r="W29" s="99">
        <v>6000</v>
      </c>
      <c r="X29" s="99">
        <v>5000</v>
      </c>
      <c r="Y29" s="99">
        <v>5000</v>
      </c>
      <c r="Z29" s="99">
        <v>5000</v>
      </c>
      <c r="AA29" s="99" t="str">
        <f t="shared" ref="AA29:AA36" si="15">$AB$1</f>
        <v>リスト!$H$2:$H$5</v>
      </c>
    </row>
    <row r="30" spans="1:27" x14ac:dyDescent="0.4">
      <c r="A30" s="298"/>
      <c r="B30" s="45">
        <f t="shared" si="1"/>
        <v>22</v>
      </c>
      <c r="C30" s="24" t="str">
        <f t="shared" si="2"/>
        <v>小障害60cmクラス</v>
      </c>
      <c r="D30" s="24" t="str">
        <f t="shared" si="3"/>
        <v>-</v>
      </c>
      <c r="E30" s="45">
        <f t="shared" si="4"/>
        <v>26</v>
      </c>
      <c r="F30" s="45" t="str">
        <f t="shared" si="5"/>
        <v>N</v>
      </c>
      <c r="G30" s="45" t="str">
        <f t="shared" si="6"/>
        <v>Y</v>
      </c>
      <c r="H30" s="295"/>
      <c r="I30" s="282"/>
      <c r="J30" s="283"/>
      <c r="K30" s="284"/>
      <c r="L30" s="25"/>
      <c r="N30" s="215">
        <v>22</v>
      </c>
      <c r="O30" s="215">
        <v>26</v>
      </c>
      <c r="P30" s="217" t="str">
        <f t="shared" si="8"/>
        <v>(22) 小障害60cmクラス</v>
      </c>
      <c r="Q30" s="217" t="s">
        <v>219</v>
      </c>
      <c r="R30" s="217" t="s">
        <v>11</v>
      </c>
      <c r="S30" s="215">
        <f t="shared" si="9"/>
        <v>22</v>
      </c>
      <c r="T30" s="215">
        <f t="shared" si="10"/>
        <v>26</v>
      </c>
      <c r="U30" s="218" t="s">
        <v>19</v>
      </c>
      <c r="V30" s="218" t="s">
        <v>16</v>
      </c>
      <c r="W30" s="99">
        <v>6000</v>
      </c>
      <c r="X30" s="99">
        <v>5000</v>
      </c>
      <c r="Y30" s="99">
        <v>5000</v>
      </c>
      <c r="Z30" s="99">
        <v>5000</v>
      </c>
      <c r="AA30" s="99" t="str">
        <f t="shared" si="15"/>
        <v>リスト!$H$2:$H$5</v>
      </c>
    </row>
    <row r="31" spans="1:27" x14ac:dyDescent="0.4">
      <c r="A31" s="298"/>
      <c r="B31" s="45">
        <f t="shared" si="1"/>
        <v>23</v>
      </c>
      <c r="C31" s="24" t="str">
        <f t="shared" si="2"/>
        <v>小障害70cmクラス</v>
      </c>
      <c r="D31" s="24" t="str">
        <f t="shared" si="3"/>
        <v>-</v>
      </c>
      <c r="E31" s="45">
        <f t="shared" si="4"/>
        <v>27</v>
      </c>
      <c r="F31" s="45" t="str">
        <f t="shared" si="5"/>
        <v>N</v>
      </c>
      <c r="G31" s="45" t="str">
        <f t="shared" si="6"/>
        <v>Y</v>
      </c>
      <c r="H31" s="277">
        <f t="shared" si="11"/>
        <v>8000</v>
      </c>
      <c r="I31" s="279">
        <f t="shared" si="12"/>
        <v>6000</v>
      </c>
      <c r="J31" s="280"/>
      <c r="K31" s="281"/>
      <c r="L31" s="25"/>
      <c r="N31" s="215">
        <v>23</v>
      </c>
      <c r="O31" s="215">
        <v>27</v>
      </c>
      <c r="P31" s="217" t="str">
        <f t="shared" si="8"/>
        <v>(23) 小障害70cmクラス</v>
      </c>
      <c r="Q31" s="217" t="s">
        <v>220</v>
      </c>
      <c r="R31" s="217" t="s">
        <v>11</v>
      </c>
      <c r="S31" s="215">
        <f t="shared" si="9"/>
        <v>23</v>
      </c>
      <c r="T31" s="215">
        <f t="shared" si="10"/>
        <v>27</v>
      </c>
      <c r="U31" s="218" t="s">
        <v>19</v>
      </c>
      <c r="V31" s="218" t="s">
        <v>16</v>
      </c>
      <c r="W31" s="99">
        <v>8000</v>
      </c>
      <c r="X31" s="99">
        <v>6000</v>
      </c>
      <c r="Y31" s="99">
        <v>6000</v>
      </c>
      <c r="Z31" s="99">
        <v>6000</v>
      </c>
      <c r="AA31" s="99" t="str">
        <f t="shared" si="15"/>
        <v>リスト!$H$2:$H$5</v>
      </c>
    </row>
    <row r="32" spans="1:27" x14ac:dyDescent="0.4">
      <c r="A32" s="298"/>
      <c r="B32" s="53">
        <f t="shared" si="1"/>
        <v>24</v>
      </c>
      <c r="C32" s="54" t="str">
        <f t="shared" si="2"/>
        <v>小障害80cmクラス</v>
      </c>
      <c r="D32" s="54" t="str">
        <f t="shared" si="3"/>
        <v>-</v>
      </c>
      <c r="E32" s="53">
        <f t="shared" si="4"/>
        <v>28</v>
      </c>
      <c r="F32" s="53" t="str">
        <f t="shared" si="5"/>
        <v>N</v>
      </c>
      <c r="G32" s="53" t="str">
        <f t="shared" si="6"/>
        <v>Y</v>
      </c>
      <c r="H32" s="295"/>
      <c r="I32" s="282"/>
      <c r="J32" s="283"/>
      <c r="K32" s="284"/>
      <c r="L32" s="55"/>
      <c r="N32" s="215">
        <v>24</v>
      </c>
      <c r="O32" s="215">
        <v>28</v>
      </c>
      <c r="P32" s="217" t="str">
        <f t="shared" si="8"/>
        <v>(24) 小障害80cmクラス</v>
      </c>
      <c r="Q32" s="217" t="s">
        <v>221</v>
      </c>
      <c r="R32" s="217" t="s">
        <v>11</v>
      </c>
      <c r="S32" s="215">
        <f t="shared" si="9"/>
        <v>24</v>
      </c>
      <c r="T32" s="215">
        <f t="shared" si="10"/>
        <v>28</v>
      </c>
      <c r="U32" s="218" t="s">
        <v>19</v>
      </c>
      <c r="V32" s="218" t="s">
        <v>16</v>
      </c>
      <c r="W32" s="99">
        <v>8000</v>
      </c>
      <c r="X32" s="99">
        <v>6000</v>
      </c>
      <c r="Y32" s="99">
        <v>6000</v>
      </c>
      <c r="Z32" s="99">
        <v>6000</v>
      </c>
      <c r="AA32" s="99" t="str">
        <f t="shared" si="15"/>
        <v>リスト!$H$2:$H$5</v>
      </c>
    </row>
    <row r="33" spans="1:27" x14ac:dyDescent="0.4">
      <c r="A33" s="298"/>
      <c r="B33" s="45">
        <f t="shared" si="1"/>
        <v>25</v>
      </c>
      <c r="C33" s="24" t="str">
        <f t="shared" si="2"/>
        <v>小障害90cmクラス</v>
      </c>
      <c r="D33" s="24" t="str">
        <f t="shared" si="3"/>
        <v>-</v>
      </c>
      <c r="E33" s="45">
        <f t="shared" si="4"/>
        <v>29</v>
      </c>
      <c r="F33" s="45" t="str">
        <f t="shared" si="5"/>
        <v>N</v>
      </c>
      <c r="G33" s="45" t="str">
        <f t="shared" si="6"/>
        <v>Y</v>
      </c>
      <c r="H33" s="277">
        <f t="shared" si="11"/>
        <v>10000</v>
      </c>
      <c r="I33" s="279">
        <f t="shared" si="12"/>
        <v>8000</v>
      </c>
      <c r="J33" s="280"/>
      <c r="K33" s="281"/>
      <c r="L33" s="25"/>
      <c r="N33" s="215">
        <v>25</v>
      </c>
      <c r="O33" s="215">
        <v>29</v>
      </c>
      <c r="P33" s="217" t="str">
        <f t="shared" si="8"/>
        <v>(25) 小障害90cmクラス</v>
      </c>
      <c r="Q33" s="217" t="s">
        <v>222</v>
      </c>
      <c r="R33" s="217" t="s">
        <v>11</v>
      </c>
      <c r="S33" s="215">
        <f t="shared" si="9"/>
        <v>25</v>
      </c>
      <c r="T33" s="215">
        <f t="shared" si="10"/>
        <v>29</v>
      </c>
      <c r="U33" s="218" t="s">
        <v>19</v>
      </c>
      <c r="V33" s="218" t="s">
        <v>16</v>
      </c>
      <c r="W33" s="99">
        <v>10000</v>
      </c>
      <c r="X33" s="99">
        <v>8000</v>
      </c>
      <c r="Y33" s="99">
        <v>8000</v>
      </c>
      <c r="Z33" s="99">
        <v>8000</v>
      </c>
      <c r="AA33" s="99" t="str">
        <f t="shared" si="15"/>
        <v>リスト!$H$2:$H$5</v>
      </c>
    </row>
    <row r="34" spans="1:27" x14ac:dyDescent="0.4">
      <c r="A34" s="298"/>
      <c r="B34" s="45">
        <f t="shared" si="1"/>
        <v>26</v>
      </c>
      <c r="C34" s="54" t="str">
        <f t="shared" si="2"/>
        <v>小障害100cmクラス</v>
      </c>
      <c r="D34" s="54" t="str">
        <f t="shared" si="3"/>
        <v>-</v>
      </c>
      <c r="E34" s="53">
        <f t="shared" si="4"/>
        <v>30</v>
      </c>
      <c r="F34" s="53" t="str">
        <f t="shared" si="5"/>
        <v>N</v>
      </c>
      <c r="G34" s="53" t="str">
        <f t="shared" si="6"/>
        <v>Y</v>
      </c>
      <c r="H34" s="295"/>
      <c r="I34" s="282"/>
      <c r="J34" s="283"/>
      <c r="K34" s="284"/>
      <c r="L34" s="25"/>
      <c r="N34" s="215">
        <v>26</v>
      </c>
      <c r="O34" s="215">
        <v>30</v>
      </c>
      <c r="P34" s="217" t="str">
        <f t="shared" si="8"/>
        <v>(26) 小障害100cmクラス</v>
      </c>
      <c r="Q34" s="217" t="s">
        <v>223</v>
      </c>
      <c r="R34" s="217" t="s">
        <v>11</v>
      </c>
      <c r="S34" s="215">
        <f t="shared" si="9"/>
        <v>26</v>
      </c>
      <c r="T34" s="215">
        <f t="shared" si="10"/>
        <v>30</v>
      </c>
      <c r="U34" s="218" t="s">
        <v>19</v>
      </c>
      <c r="V34" s="218" t="s">
        <v>16</v>
      </c>
      <c r="W34" s="99">
        <v>10000</v>
      </c>
      <c r="X34" s="99">
        <v>8000</v>
      </c>
      <c r="Y34" s="99">
        <v>8000</v>
      </c>
      <c r="Z34" s="99">
        <v>8000</v>
      </c>
      <c r="AA34" s="99" t="str">
        <f t="shared" si="15"/>
        <v>リスト!$H$2:$H$5</v>
      </c>
    </row>
    <row r="35" spans="1:27" x14ac:dyDescent="0.4">
      <c r="A35" s="298"/>
      <c r="B35" s="45">
        <f t="shared" si="1"/>
        <v>27</v>
      </c>
      <c r="C35" s="24" t="str">
        <f t="shared" si="2"/>
        <v>中障害D 110cmクラス</v>
      </c>
      <c r="D35" s="24" t="str">
        <f t="shared" si="3"/>
        <v>-</v>
      </c>
      <c r="E35" s="8">
        <f t="shared" si="4"/>
        <v>31</v>
      </c>
      <c r="F35" s="45" t="str">
        <f t="shared" si="5"/>
        <v>N</v>
      </c>
      <c r="G35" s="45" t="str">
        <f t="shared" si="6"/>
        <v>Y</v>
      </c>
      <c r="H35" s="277">
        <f t="shared" si="11"/>
        <v>12000</v>
      </c>
      <c r="I35" s="279">
        <f t="shared" si="12"/>
        <v>10000</v>
      </c>
      <c r="J35" s="280"/>
      <c r="K35" s="281"/>
      <c r="L35" s="25"/>
      <c r="N35" s="215">
        <v>27</v>
      </c>
      <c r="O35" s="215">
        <v>31</v>
      </c>
      <c r="P35" s="217" t="str">
        <f t="shared" si="8"/>
        <v>(27) 中障害D 110cmクラス</v>
      </c>
      <c r="Q35" s="217" t="s">
        <v>224</v>
      </c>
      <c r="R35" s="217" t="s">
        <v>11</v>
      </c>
      <c r="S35" s="215">
        <f t="shared" si="9"/>
        <v>27</v>
      </c>
      <c r="T35" s="215">
        <f t="shared" si="10"/>
        <v>31</v>
      </c>
      <c r="U35" s="218" t="s">
        <v>19</v>
      </c>
      <c r="V35" s="218" t="s">
        <v>16</v>
      </c>
      <c r="W35" s="99">
        <v>12000</v>
      </c>
      <c r="X35" s="99">
        <v>10000</v>
      </c>
      <c r="Y35" s="99">
        <v>10000</v>
      </c>
      <c r="Z35" s="99">
        <v>10000</v>
      </c>
      <c r="AA35" s="99" t="str">
        <f t="shared" si="15"/>
        <v>リスト!$H$2:$H$5</v>
      </c>
    </row>
    <row r="36" spans="1:27" x14ac:dyDescent="0.4">
      <c r="A36" s="298"/>
      <c r="B36" s="45">
        <f t="shared" si="1"/>
        <v>28</v>
      </c>
      <c r="C36" s="24" t="str">
        <f t="shared" si="2"/>
        <v>中障害C 120cmクラス</v>
      </c>
      <c r="D36" s="24" t="str">
        <f t="shared" si="3"/>
        <v>-</v>
      </c>
      <c r="E36" s="45">
        <f t="shared" si="4"/>
        <v>32</v>
      </c>
      <c r="F36" s="45" t="str">
        <f t="shared" si="5"/>
        <v>N</v>
      </c>
      <c r="G36" s="45" t="str">
        <f t="shared" si="6"/>
        <v>Y</v>
      </c>
      <c r="H36" s="295"/>
      <c r="I36" s="282"/>
      <c r="J36" s="283"/>
      <c r="K36" s="284"/>
      <c r="L36" s="25"/>
      <c r="N36" s="215">
        <v>28</v>
      </c>
      <c r="O36" s="215">
        <v>32</v>
      </c>
      <c r="P36" s="217" t="str">
        <f t="shared" si="8"/>
        <v>(28) 中障害C 120cmクラス</v>
      </c>
      <c r="Q36" s="217" t="s">
        <v>225</v>
      </c>
      <c r="R36" s="217" t="s">
        <v>11</v>
      </c>
      <c r="S36" s="215">
        <f t="shared" si="9"/>
        <v>28</v>
      </c>
      <c r="T36" s="215">
        <f t="shared" si="10"/>
        <v>32</v>
      </c>
      <c r="U36" s="218" t="s">
        <v>19</v>
      </c>
      <c r="V36" s="218" t="s">
        <v>16</v>
      </c>
      <c r="W36" s="99">
        <v>12000</v>
      </c>
      <c r="X36" s="99">
        <v>10000</v>
      </c>
      <c r="Y36" s="99">
        <v>10000</v>
      </c>
      <c r="Z36" s="99">
        <v>10000</v>
      </c>
      <c r="AA36" s="99" t="str">
        <f t="shared" si="15"/>
        <v>リスト!$H$2:$H$5</v>
      </c>
    </row>
    <row r="37" spans="1:27" x14ac:dyDescent="0.4">
      <c r="A37" s="298"/>
      <c r="B37" s="45">
        <f t="shared" si="1"/>
        <v>29</v>
      </c>
      <c r="C37" s="24" t="str">
        <f t="shared" si="2"/>
        <v>JBG キャロット選手権(障害)</v>
      </c>
      <c r="D37" s="24" t="str">
        <f t="shared" si="3"/>
        <v>-</v>
      </c>
      <c r="E37" s="45">
        <f t="shared" si="4"/>
        <v>33</v>
      </c>
      <c r="F37" s="45" t="str">
        <f t="shared" si="5"/>
        <v>N</v>
      </c>
      <c r="G37" s="45" t="str">
        <f t="shared" si="6"/>
        <v>N</v>
      </c>
      <c r="H37" s="45" t="str">
        <f t="shared" si="11"/>
        <v>-</v>
      </c>
      <c r="I37" s="45">
        <f t="shared" si="12"/>
        <v>10000</v>
      </c>
      <c r="J37" s="45" t="str">
        <f t="shared" si="13"/>
        <v>-</v>
      </c>
      <c r="K37" s="45" t="str">
        <f t="shared" si="7"/>
        <v>-</v>
      </c>
      <c r="L37" s="73" t="s">
        <v>144</v>
      </c>
      <c r="N37" s="215">
        <v>29</v>
      </c>
      <c r="O37" s="215">
        <v>33</v>
      </c>
      <c r="P37" s="217" t="str">
        <f t="shared" si="8"/>
        <v>(29) JBG キャロット選手権(障害)</v>
      </c>
      <c r="Q37" s="217" t="s">
        <v>228</v>
      </c>
      <c r="R37" s="217" t="s">
        <v>11</v>
      </c>
      <c r="S37" s="215">
        <f t="shared" si="9"/>
        <v>29</v>
      </c>
      <c r="T37" s="215">
        <f t="shared" si="10"/>
        <v>33</v>
      </c>
      <c r="U37" s="218" t="s">
        <v>19</v>
      </c>
      <c r="V37" s="218" t="s">
        <v>19</v>
      </c>
      <c r="W37" s="99" t="s">
        <v>11</v>
      </c>
      <c r="X37" s="99">
        <v>10000</v>
      </c>
      <c r="Y37" s="99" t="s">
        <v>11</v>
      </c>
      <c r="Z37" s="99" t="s">
        <v>11</v>
      </c>
      <c r="AA37" s="99" t="str">
        <f>$AD$2</f>
        <v>リスト!$H$3:$H$3</v>
      </c>
    </row>
    <row r="38" spans="1:27" x14ac:dyDescent="0.4">
      <c r="A38" s="298"/>
      <c r="B38" s="8">
        <f t="shared" si="1"/>
        <v>30</v>
      </c>
      <c r="C38" s="57" t="str">
        <f t="shared" si="2"/>
        <v>部班馬場馬術競技 (速歩)</v>
      </c>
      <c r="D38" s="9" t="str">
        <f t="shared" si="3"/>
        <v>一般</v>
      </c>
      <c r="E38" s="8">
        <f t="shared" si="4"/>
        <v>34</v>
      </c>
      <c r="F38" s="8" t="str">
        <f t="shared" si="5"/>
        <v>N</v>
      </c>
      <c r="G38" s="8" t="str">
        <f t="shared" si="6"/>
        <v>N</v>
      </c>
      <c r="H38" s="8">
        <f t="shared" si="11"/>
        <v>6000</v>
      </c>
      <c r="I38" s="290">
        <f t="shared" si="12"/>
        <v>5000</v>
      </c>
      <c r="J38" s="291"/>
      <c r="K38" s="8" t="str">
        <f t="shared" si="7"/>
        <v>-</v>
      </c>
      <c r="L38" s="10"/>
      <c r="N38" s="215">
        <v>30</v>
      </c>
      <c r="O38" s="215">
        <v>34</v>
      </c>
      <c r="P38" s="217" t="str">
        <f t="shared" si="8"/>
        <v>(30) 部班馬場馬術競技 (速歩)(一般)</v>
      </c>
      <c r="Q38" s="217" t="s">
        <v>20</v>
      </c>
      <c r="R38" s="217" t="s">
        <v>7</v>
      </c>
      <c r="S38" s="215">
        <f t="shared" si="9"/>
        <v>30</v>
      </c>
      <c r="T38" s="215">
        <f t="shared" si="10"/>
        <v>34</v>
      </c>
      <c r="U38" s="218" t="s">
        <v>19</v>
      </c>
      <c r="V38" s="218" t="s">
        <v>19</v>
      </c>
      <c r="W38" s="99">
        <v>6000</v>
      </c>
      <c r="X38" s="99">
        <v>5000</v>
      </c>
      <c r="Y38" s="99">
        <v>5000</v>
      </c>
      <c r="Z38" s="99" t="s">
        <v>11</v>
      </c>
      <c r="AA38" s="99" t="str">
        <f>$AD$1</f>
        <v>リスト!$H$2:$H$4</v>
      </c>
    </row>
    <row r="39" spans="1:27" x14ac:dyDescent="0.4">
      <c r="A39" s="298"/>
      <c r="B39" s="11">
        <f t="shared" si="1"/>
        <v>30</v>
      </c>
      <c r="C39" s="58" t="str">
        <f t="shared" si="2"/>
        <v>部班馬場馬術競技 (速歩)</v>
      </c>
      <c r="D39" s="62" t="str">
        <f t="shared" si="3"/>
        <v>チルドレン</v>
      </c>
      <c r="E39" s="11">
        <f t="shared" si="4"/>
        <v>35</v>
      </c>
      <c r="F39" s="11" t="str">
        <f t="shared" si="5"/>
        <v>N</v>
      </c>
      <c r="G39" s="11" t="str">
        <f t="shared" si="6"/>
        <v>N</v>
      </c>
      <c r="H39" s="11" t="str">
        <f t="shared" si="11"/>
        <v>-</v>
      </c>
      <c r="I39" s="11" t="str">
        <f t="shared" si="12"/>
        <v>-</v>
      </c>
      <c r="J39" s="11">
        <f t="shared" si="13"/>
        <v>5000</v>
      </c>
      <c r="K39" s="11" t="str">
        <f t="shared" si="7"/>
        <v>-</v>
      </c>
      <c r="L39" s="66" t="s">
        <v>136</v>
      </c>
      <c r="N39" s="215">
        <v>30</v>
      </c>
      <c r="O39" s="215">
        <v>35</v>
      </c>
      <c r="P39" s="217" t="str">
        <f t="shared" si="8"/>
        <v>(30) 部班馬場馬術競技 (速歩)(チルドレン)</v>
      </c>
      <c r="Q39" s="217" t="s">
        <v>20</v>
      </c>
      <c r="R39" s="217" t="s">
        <v>3</v>
      </c>
      <c r="S39" s="215">
        <f t="shared" si="9"/>
        <v>30</v>
      </c>
      <c r="T39" s="215">
        <f t="shared" si="10"/>
        <v>35</v>
      </c>
      <c r="U39" s="218" t="s">
        <v>19</v>
      </c>
      <c r="V39" s="218" t="s">
        <v>19</v>
      </c>
      <c r="W39" s="99" t="s">
        <v>11</v>
      </c>
      <c r="X39" s="99" t="s">
        <v>11</v>
      </c>
      <c r="Y39" s="99">
        <v>5000</v>
      </c>
      <c r="Z39" s="99" t="s">
        <v>11</v>
      </c>
      <c r="AA39" s="99" t="str">
        <f>$AF$1</f>
        <v>リスト!$H$4:$H$4</v>
      </c>
    </row>
    <row r="40" spans="1:27" x14ac:dyDescent="0.4">
      <c r="A40" s="298"/>
      <c r="B40" s="8">
        <f t="shared" si="1"/>
        <v>31</v>
      </c>
      <c r="C40" s="63" t="str">
        <f t="shared" si="2"/>
        <v xml:space="preserve">部班馬場馬術競技 (駈歩) </v>
      </c>
      <c r="D40" s="9" t="str">
        <f t="shared" si="3"/>
        <v>一般</v>
      </c>
      <c r="E40" s="8">
        <f t="shared" si="4"/>
        <v>36</v>
      </c>
      <c r="F40" s="8" t="str">
        <f t="shared" si="5"/>
        <v>N</v>
      </c>
      <c r="G40" s="8" t="str">
        <f t="shared" si="6"/>
        <v>N</v>
      </c>
      <c r="H40" s="8">
        <f t="shared" si="11"/>
        <v>6000</v>
      </c>
      <c r="I40" s="290">
        <f t="shared" si="12"/>
        <v>5000</v>
      </c>
      <c r="J40" s="291"/>
      <c r="K40" s="8" t="str">
        <f t="shared" si="7"/>
        <v>-</v>
      </c>
      <c r="L40" s="10"/>
      <c r="N40" s="215">
        <v>31</v>
      </c>
      <c r="O40" s="215">
        <v>36</v>
      </c>
      <c r="P40" s="217" t="str">
        <f t="shared" si="8"/>
        <v>(31) 部班馬場馬術競技 (駈歩) (一般)</v>
      </c>
      <c r="Q40" s="217" t="s">
        <v>133</v>
      </c>
      <c r="R40" s="217" t="s">
        <v>7</v>
      </c>
      <c r="S40" s="215">
        <f t="shared" si="9"/>
        <v>31</v>
      </c>
      <c r="T40" s="215">
        <f t="shared" si="10"/>
        <v>36</v>
      </c>
      <c r="U40" s="218" t="s">
        <v>19</v>
      </c>
      <c r="V40" s="218" t="s">
        <v>19</v>
      </c>
      <c r="W40" s="99">
        <v>6000</v>
      </c>
      <c r="X40" s="99">
        <v>5000</v>
      </c>
      <c r="Y40" s="99">
        <v>5000</v>
      </c>
      <c r="Z40" s="99" t="s">
        <v>11</v>
      </c>
      <c r="AA40" s="99" t="str">
        <f>$AD$1</f>
        <v>リスト!$H$2:$H$4</v>
      </c>
    </row>
    <row r="41" spans="1:27" x14ac:dyDescent="0.4">
      <c r="A41" s="298"/>
      <c r="B41" s="11">
        <f t="shared" si="1"/>
        <v>31</v>
      </c>
      <c r="C41" s="64" t="str">
        <f t="shared" si="2"/>
        <v xml:space="preserve">部班馬場馬術競技 (駈歩) </v>
      </c>
      <c r="D41" s="65" t="str">
        <f t="shared" si="3"/>
        <v>チルドレン</v>
      </c>
      <c r="E41" s="11">
        <f t="shared" si="4"/>
        <v>37</v>
      </c>
      <c r="F41" s="11" t="str">
        <f t="shared" si="5"/>
        <v>N</v>
      </c>
      <c r="G41" s="11" t="str">
        <f t="shared" si="6"/>
        <v>N</v>
      </c>
      <c r="H41" s="11" t="str">
        <f t="shared" si="11"/>
        <v>-</v>
      </c>
      <c r="I41" s="11" t="str">
        <f t="shared" si="12"/>
        <v>-</v>
      </c>
      <c r="J41" s="11">
        <f t="shared" si="13"/>
        <v>5000</v>
      </c>
      <c r="K41" s="11" t="str">
        <f t="shared" si="7"/>
        <v>-</v>
      </c>
      <c r="L41" s="66" t="s">
        <v>136</v>
      </c>
      <c r="N41" s="215">
        <v>31</v>
      </c>
      <c r="O41" s="215">
        <v>37</v>
      </c>
      <c r="P41" s="217" t="str">
        <f t="shared" si="8"/>
        <v>(31) 部班馬場馬術競技 (駈歩) (チルドレン)</v>
      </c>
      <c r="Q41" s="217" t="s">
        <v>133</v>
      </c>
      <c r="R41" s="217" t="s">
        <v>3</v>
      </c>
      <c r="S41" s="215">
        <f t="shared" si="9"/>
        <v>31</v>
      </c>
      <c r="T41" s="215">
        <f t="shared" si="10"/>
        <v>37</v>
      </c>
      <c r="U41" s="218" t="s">
        <v>19</v>
      </c>
      <c r="V41" s="218" t="s">
        <v>19</v>
      </c>
      <c r="W41" s="99" t="s">
        <v>11</v>
      </c>
      <c r="X41" s="99" t="s">
        <v>11</v>
      </c>
      <c r="Y41" s="99">
        <v>5000</v>
      </c>
      <c r="Z41" s="99" t="s">
        <v>11</v>
      </c>
      <c r="AA41" s="99" t="str">
        <f>$AF$1</f>
        <v>リスト!$H$4:$H$4</v>
      </c>
    </row>
    <row r="42" spans="1:27" x14ac:dyDescent="0.4">
      <c r="A42" s="298"/>
      <c r="B42" s="45">
        <f t="shared" si="1"/>
        <v>32</v>
      </c>
      <c r="C42" s="60" t="str">
        <f t="shared" si="2"/>
        <v>A1課目馬場馬術競技</v>
      </c>
      <c r="D42" s="24" t="str">
        <f t="shared" si="3"/>
        <v>-</v>
      </c>
      <c r="E42" s="45">
        <f t="shared" si="4"/>
        <v>38</v>
      </c>
      <c r="F42" s="45" t="str">
        <f t="shared" si="5"/>
        <v>N</v>
      </c>
      <c r="G42" s="45" t="str">
        <f t="shared" si="6"/>
        <v>Y</v>
      </c>
      <c r="H42" s="277">
        <f t="shared" si="11"/>
        <v>9000</v>
      </c>
      <c r="I42" s="279">
        <f t="shared" si="12"/>
        <v>7000</v>
      </c>
      <c r="J42" s="280"/>
      <c r="K42" s="281"/>
      <c r="L42" s="25"/>
      <c r="N42" s="215">
        <v>32</v>
      </c>
      <c r="O42" s="215">
        <v>38</v>
      </c>
      <c r="P42" s="217" t="str">
        <f t="shared" si="8"/>
        <v>(32) A1課目馬場馬術競技</v>
      </c>
      <c r="Q42" s="217" t="s">
        <v>229</v>
      </c>
      <c r="R42" s="217" t="s">
        <v>11</v>
      </c>
      <c r="S42" s="215">
        <f t="shared" si="9"/>
        <v>32</v>
      </c>
      <c r="T42" s="215">
        <f t="shared" si="10"/>
        <v>38</v>
      </c>
      <c r="U42" s="218" t="s">
        <v>19</v>
      </c>
      <c r="V42" s="218" t="s">
        <v>16</v>
      </c>
      <c r="W42" s="99">
        <v>9000</v>
      </c>
      <c r="X42" s="99">
        <v>7000</v>
      </c>
      <c r="Y42" s="99">
        <v>7000</v>
      </c>
      <c r="Z42" s="99">
        <v>7000</v>
      </c>
      <c r="AA42" s="99" t="str">
        <f t="shared" ref="AA42:AA48" si="16">$AB$1</f>
        <v>リスト!$H$2:$H$5</v>
      </c>
    </row>
    <row r="43" spans="1:27" x14ac:dyDescent="0.4">
      <c r="A43" s="298"/>
      <c r="B43" s="45">
        <f t="shared" si="1"/>
        <v>33</v>
      </c>
      <c r="C43" s="60" t="str">
        <f t="shared" si="2"/>
        <v>A2課目馬場馬術競技</v>
      </c>
      <c r="D43" s="24" t="str">
        <f t="shared" si="3"/>
        <v>-</v>
      </c>
      <c r="E43" s="45">
        <f t="shared" si="4"/>
        <v>39</v>
      </c>
      <c r="F43" s="45" t="str">
        <f t="shared" si="5"/>
        <v>N</v>
      </c>
      <c r="G43" s="45" t="str">
        <f t="shared" si="6"/>
        <v>Y</v>
      </c>
      <c r="H43" s="294"/>
      <c r="I43" s="292"/>
      <c r="J43" s="275"/>
      <c r="K43" s="293"/>
      <c r="L43" s="25"/>
      <c r="N43" s="215">
        <v>33</v>
      </c>
      <c r="O43" s="215">
        <v>39</v>
      </c>
      <c r="P43" s="217" t="str">
        <f t="shared" si="8"/>
        <v>(33) A2課目馬場馬術競技</v>
      </c>
      <c r="Q43" s="217" t="s">
        <v>13</v>
      </c>
      <c r="R43" s="217" t="s">
        <v>11</v>
      </c>
      <c r="S43" s="215">
        <f t="shared" si="9"/>
        <v>33</v>
      </c>
      <c r="T43" s="215">
        <f t="shared" si="10"/>
        <v>39</v>
      </c>
      <c r="U43" s="218" t="s">
        <v>19</v>
      </c>
      <c r="V43" s="218" t="s">
        <v>16</v>
      </c>
      <c r="W43" s="99">
        <v>9000</v>
      </c>
      <c r="X43" s="99">
        <v>7000</v>
      </c>
      <c r="Y43" s="99">
        <v>7000</v>
      </c>
      <c r="Z43" s="99">
        <v>7000</v>
      </c>
      <c r="AA43" s="99" t="str">
        <f t="shared" si="16"/>
        <v>リスト!$H$2:$H$5</v>
      </c>
    </row>
    <row r="44" spans="1:27" x14ac:dyDescent="0.4">
      <c r="A44" s="298"/>
      <c r="B44" s="45">
        <f t="shared" si="1"/>
        <v>34</v>
      </c>
      <c r="C44" s="60" t="str">
        <f t="shared" si="2"/>
        <v>A3課目馬場馬術競技</v>
      </c>
      <c r="D44" s="24" t="str">
        <f t="shared" si="3"/>
        <v>-</v>
      </c>
      <c r="E44" s="45">
        <f t="shared" si="4"/>
        <v>40</v>
      </c>
      <c r="F44" s="45" t="str">
        <f t="shared" si="5"/>
        <v>N</v>
      </c>
      <c r="G44" s="45" t="str">
        <f t="shared" si="6"/>
        <v>Y</v>
      </c>
      <c r="H44" s="295"/>
      <c r="I44" s="282"/>
      <c r="J44" s="283"/>
      <c r="K44" s="284"/>
      <c r="L44" s="25"/>
      <c r="N44" s="215">
        <v>34</v>
      </c>
      <c r="O44" s="215">
        <v>40</v>
      </c>
      <c r="P44" s="217" t="str">
        <f t="shared" si="8"/>
        <v>(34) A3課目馬場馬術競技</v>
      </c>
      <c r="Q44" s="217" t="s">
        <v>226</v>
      </c>
      <c r="R44" s="217" t="s">
        <v>11</v>
      </c>
      <c r="S44" s="215">
        <f t="shared" si="9"/>
        <v>34</v>
      </c>
      <c r="T44" s="215">
        <f t="shared" si="10"/>
        <v>40</v>
      </c>
      <c r="U44" s="218" t="s">
        <v>19</v>
      </c>
      <c r="V44" s="218" t="s">
        <v>16</v>
      </c>
      <c r="W44" s="99">
        <v>9000</v>
      </c>
      <c r="X44" s="99">
        <v>7000</v>
      </c>
      <c r="Y44" s="99">
        <v>7000</v>
      </c>
      <c r="Z44" s="99">
        <v>7000</v>
      </c>
      <c r="AA44" s="99" t="str">
        <f t="shared" si="16"/>
        <v>リスト!$H$2:$H$5</v>
      </c>
    </row>
    <row r="45" spans="1:27" x14ac:dyDescent="0.4">
      <c r="A45" s="298"/>
      <c r="B45" s="2">
        <f t="shared" si="1"/>
        <v>35</v>
      </c>
      <c r="C45" s="56" t="str">
        <f t="shared" si="2"/>
        <v>FEI総合1スター馬場馬術競技</v>
      </c>
      <c r="D45" s="3" t="str">
        <f t="shared" si="3"/>
        <v>-</v>
      </c>
      <c r="E45" s="2">
        <f t="shared" si="4"/>
        <v>41</v>
      </c>
      <c r="F45" s="2" t="str">
        <f t="shared" si="5"/>
        <v>N</v>
      </c>
      <c r="G45" s="2" t="str">
        <f t="shared" si="6"/>
        <v>Y</v>
      </c>
      <c r="H45" s="277">
        <f t="shared" si="11"/>
        <v>11000</v>
      </c>
      <c r="I45" s="279">
        <f t="shared" si="12"/>
        <v>9000</v>
      </c>
      <c r="J45" s="280"/>
      <c r="K45" s="281"/>
      <c r="L45" s="4"/>
      <c r="N45" s="215">
        <v>35</v>
      </c>
      <c r="O45" s="215">
        <v>41</v>
      </c>
      <c r="P45" s="217" t="str">
        <f t="shared" si="8"/>
        <v>(35) FEI総合1スター馬場馬術競技</v>
      </c>
      <c r="Q45" s="217" t="s">
        <v>18</v>
      </c>
      <c r="R45" s="217" t="s">
        <v>11</v>
      </c>
      <c r="S45" s="215">
        <f t="shared" si="9"/>
        <v>35</v>
      </c>
      <c r="T45" s="215">
        <f t="shared" si="10"/>
        <v>41</v>
      </c>
      <c r="U45" s="218" t="s">
        <v>19</v>
      </c>
      <c r="V45" s="218" t="s">
        <v>16</v>
      </c>
      <c r="W45" s="99">
        <v>11000</v>
      </c>
      <c r="X45" s="99">
        <v>9000</v>
      </c>
      <c r="Y45" s="99">
        <v>9000</v>
      </c>
      <c r="Z45" s="99">
        <v>9000</v>
      </c>
      <c r="AA45" s="99" t="str">
        <f t="shared" si="16"/>
        <v>リスト!$H$2:$H$5</v>
      </c>
    </row>
    <row r="46" spans="1:27" ht="19.5" customHeight="1" x14ac:dyDescent="0.4">
      <c r="A46" s="298"/>
      <c r="B46" s="45">
        <f t="shared" si="1"/>
        <v>36</v>
      </c>
      <c r="C46" s="60" t="str">
        <f t="shared" si="2"/>
        <v>L1課目馬場馬術競技</v>
      </c>
      <c r="D46" s="24" t="str">
        <f t="shared" si="3"/>
        <v>-</v>
      </c>
      <c r="E46" s="8">
        <f t="shared" si="4"/>
        <v>42</v>
      </c>
      <c r="F46" s="45" t="str">
        <f t="shared" si="5"/>
        <v>N</v>
      </c>
      <c r="G46" s="45" t="str">
        <f t="shared" si="6"/>
        <v>Y</v>
      </c>
      <c r="H46" s="294"/>
      <c r="I46" s="292"/>
      <c r="J46" s="275"/>
      <c r="K46" s="293"/>
      <c r="L46" s="25"/>
      <c r="N46" s="215">
        <v>36</v>
      </c>
      <c r="O46" s="215">
        <v>42</v>
      </c>
      <c r="P46" s="217" t="str">
        <f t="shared" si="8"/>
        <v>(36) L1課目馬場馬術競技</v>
      </c>
      <c r="Q46" s="217" t="s">
        <v>227</v>
      </c>
      <c r="R46" s="217" t="s">
        <v>11</v>
      </c>
      <c r="S46" s="215">
        <f t="shared" si="9"/>
        <v>36</v>
      </c>
      <c r="T46" s="215">
        <f t="shared" si="10"/>
        <v>42</v>
      </c>
      <c r="U46" s="218" t="s">
        <v>19</v>
      </c>
      <c r="V46" s="218" t="s">
        <v>16</v>
      </c>
      <c r="W46" s="99">
        <v>11000</v>
      </c>
      <c r="X46" s="99">
        <v>9000</v>
      </c>
      <c r="Y46" s="99">
        <v>9000</v>
      </c>
      <c r="Z46" s="99">
        <v>9000</v>
      </c>
      <c r="AA46" s="99" t="str">
        <f t="shared" si="16"/>
        <v>リスト!$H$2:$H$5</v>
      </c>
    </row>
    <row r="47" spans="1:27" x14ac:dyDescent="0.4">
      <c r="A47" s="298"/>
      <c r="B47" s="45">
        <f t="shared" ref="B47" si="17">N47</f>
        <v>37</v>
      </c>
      <c r="C47" s="24" t="str">
        <f t="shared" ref="C47" si="18">Q47</f>
        <v>学生賞典馬場馬術競技</v>
      </c>
      <c r="D47" s="24" t="str">
        <f t="shared" ref="D47" si="19">R47</f>
        <v>-</v>
      </c>
      <c r="E47" s="8">
        <f t="shared" ref="E47" si="20">O47</f>
        <v>43</v>
      </c>
      <c r="F47" s="45" t="str">
        <f t="shared" ref="F47" si="21">U47</f>
        <v>N</v>
      </c>
      <c r="G47" s="45" t="str">
        <f t="shared" ref="G47" si="22">V47</f>
        <v>Y</v>
      </c>
      <c r="H47" s="294"/>
      <c r="I47" s="292"/>
      <c r="J47" s="275"/>
      <c r="K47" s="293"/>
      <c r="L47" s="25"/>
      <c r="N47" s="215">
        <v>37</v>
      </c>
      <c r="O47" s="215">
        <v>43</v>
      </c>
      <c r="P47" s="217" t="str">
        <f t="shared" ref="P47" si="23">"("&amp;S47&amp;") "&amp;IF(R47&lt;&gt;"-",Q47&amp;"("&amp;R47&amp;")",Q47)</f>
        <v>(37) 学生賞典馬場馬術競技</v>
      </c>
      <c r="Q47" s="217" t="s">
        <v>375</v>
      </c>
      <c r="R47" s="217" t="s">
        <v>11</v>
      </c>
      <c r="S47" s="215">
        <f t="shared" ref="S47" si="24">N47</f>
        <v>37</v>
      </c>
      <c r="T47" s="215">
        <f t="shared" ref="T47" si="25">O47</f>
        <v>43</v>
      </c>
      <c r="U47" s="218" t="s">
        <v>19</v>
      </c>
      <c r="V47" s="218" t="s">
        <v>16</v>
      </c>
      <c r="W47" s="99">
        <v>11000</v>
      </c>
      <c r="X47" s="99">
        <v>9000</v>
      </c>
      <c r="Y47" s="99">
        <v>9000</v>
      </c>
      <c r="Z47" s="99">
        <v>9000</v>
      </c>
      <c r="AA47" s="99" t="str">
        <f t="shared" si="16"/>
        <v>リスト!$H$2:$H$5</v>
      </c>
    </row>
    <row r="48" spans="1:27" x14ac:dyDescent="0.4">
      <c r="A48" s="298"/>
      <c r="B48" s="45">
        <f t="shared" si="1"/>
        <v>38</v>
      </c>
      <c r="C48" s="24" t="str">
        <f t="shared" si="2"/>
        <v>自由選択課目</v>
      </c>
      <c r="D48" s="24" t="str">
        <f t="shared" si="3"/>
        <v>-</v>
      </c>
      <c r="E48" s="45">
        <f t="shared" si="4"/>
        <v>44</v>
      </c>
      <c r="F48" s="45" t="str">
        <f t="shared" si="5"/>
        <v>N</v>
      </c>
      <c r="G48" s="45" t="str">
        <f t="shared" si="6"/>
        <v>Y</v>
      </c>
      <c r="H48" s="295"/>
      <c r="I48" s="282"/>
      <c r="J48" s="283"/>
      <c r="K48" s="284"/>
      <c r="L48" s="25"/>
      <c r="N48" s="215">
        <v>38</v>
      </c>
      <c r="O48" s="215">
        <v>44</v>
      </c>
      <c r="P48" s="217" t="str">
        <f t="shared" si="8"/>
        <v>(38) 自由選択課目</v>
      </c>
      <c r="Q48" s="217" t="s">
        <v>15</v>
      </c>
      <c r="R48" s="217" t="s">
        <v>11</v>
      </c>
      <c r="S48" s="215">
        <f t="shared" si="9"/>
        <v>38</v>
      </c>
      <c r="T48" s="215">
        <f t="shared" si="10"/>
        <v>44</v>
      </c>
      <c r="U48" s="218" t="s">
        <v>19</v>
      </c>
      <c r="V48" s="218" t="s">
        <v>316</v>
      </c>
      <c r="W48" s="99">
        <v>11000</v>
      </c>
      <c r="X48" s="99">
        <v>9000</v>
      </c>
      <c r="Y48" s="99">
        <v>9000</v>
      </c>
      <c r="Z48" s="99">
        <v>9000</v>
      </c>
      <c r="AA48" s="99" t="str">
        <f t="shared" si="16"/>
        <v>リスト!$H$2:$H$5</v>
      </c>
    </row>
    <row r="49" spans="1:27" x14ac:dyDescent="0.4">
      <c r="A49" s="298"/>
      <c r="B49" s="45">
        <f t="shared" si="1"/>
        <v>39</v>
      </c>
      <c r="C49" s="60" t="str">
        <f t="shared" si="2"/>
        <v>L2課目馬場馬術競技</v>
      </c>
      <c r="D49" s="24" t="str">
        <f t="shared" si="3"/>
        <v>公認</v>
      </c>
      <c r="E49" s="45">
        <f t="shared" si="4"/>
        <v>45</v>
      </c>
      <c r="F49" s="45" t="str">
        <f t="shared" si="5"/>
        <v>Y</v>
      </c>
      <c r="G49" s="45" t="str">
        <f t="shared" si="6"/>
        <v>N</v>
      </c>
      <c r="H49" s="277">
        <f t="shared" si="11"/>
        <v>13000</v>
      </c>
      <c r="I49" s="279" t="str">
        <f t="shared" si="12"/>
        <v>-</v>
      </c>
      <c r="J49" s="280"/>
      <c r="K49" s="281"/>
      <c r="L49" s="25"/>
      <c r="N49" s="215">
        <v>39</v>
      </c>
      <c r="O49" s="215">
        <v>45</v>
      </c>
      <c r="P49" s="217" t="str">
        <f t="shared" si="8"/>
        <v>(39) L2課目馬場馬術競技(公認)</v>
      </c>
      <c r="Q49" s="217" t="s">
        <v>230</v>
      </c>
      <c r="R49" s="217" t="s">
        <v>9</v>
      </c>
      <c r="S49" s="215">
        <f t="shared" si="9"/>
        <v>39</v>
      </c>
      <c r="T49" s="215">
        <f t="shared" si="10"/>
        <v>45</v>
      </c>
      <c r="U49" s="218" t="s">
        <v>16</v>
      </c>
      <c r="V49" s="218" t="s">
        <v>19</v>
      </c>
      <c r="W49" s="99">
        <v>13000</v>
      </c>
      <c r="X49" s="99" t="s">
        <v>11</v>
      </c>
      <c r="Y49" s="99" t="s">
        <v>11</v>
      </c>
      <c r="Z49" s="99" t="s">
        <v>11</v>
      </c>
      <c r="AA49" s="99" t="str">
        <f>$AB$2</f>
        <v>リスト!$H$2:$H$2</v>
      </c>
    </row>
    <row r="50" spans="1:27" ht="19.5" thickBot="1" x14ac:dyDescent="0.45">
      <c r="A50" s="300"/>
      <c r="B50" s="46">
        <f t="shared" si="1"/>
        <v>40</v>
      </c>
      <c r="C50" s="69" t="str">
        <f t="shared" si="2"/>
        <v>M2課目馬場馬術競技</v>
      </c>
      <c r="D50" s="26" t="str">
        <f t="shared" si="3"/>
        <v>公認</v>
      </c>
      <c r="E50" s="46">
        <f t="shared" si="4"/>
        <v>46</v>
      </c>
      <c r="F50" s="46" t="str">
        <f t="shared" si="5"/>
        <v>Y</v>
      </c>
      <c r="G50" s="46" t="str">
        <f t="shared" si="6"/>
        <v>N</v>
      </c>
      <c r="H50" s="278"/>
      <c r="I50" s="285"/>
      <c r="J50" s="286"/>
      <c r="K50" s="287"/>
      <c r="L50" s="27"/>
      <c r="N50" s="215">
        <v>40</v>
      </c>
      <c r="O50" s="215">
        <v>46</v>
      </c>
      <c r="P50" s="217" t="str">
        <f t="shared" si="8"/>
        <v>(40) M2課目馬場馬術競技(公認)</v>
      </c>
      <c r="Q50" s="217" t="s">
        <v>21</v>
      </c>
      <c r="R50" s="217" t="s">
        <v>9</v>
      </c>
      <c r="S50" s="215">
        <f t="shared" si="9"/>
        <v>40</v>
      </c>
      <c r="T50" s="215">
        <f t="shared" si="10"/>
        <v>46</v>
      </c>
      <c r="U50" s="218" t="s">
        <v>16</v>
      </c>
      <c r="V50" s="218" t="s">
        <v>19</v>
      </c>
      <c r="W50" s="99">
        <v>13000</v>
      </c>
      <c r="X50" s="99" t="s">
        <v>11</v>
      </c>
      <c r="Y50" s="99" t="s">
        <v>11</v>
      </c>
      <c r="Z50" s="99" t="s">
        <v>11</v>
      </c>
      <c r="AA50" s="99" t="str">
        <f>$AB$2</f>
        <v>リスト!$H$2:$H$2</v>
      </c>
    </row>
  </sheetData>
  <sheetProtection algorithmName="SHA-512" hashValue="HL9gQfE550OZKEm+CEP8BVuzI9FlDY5OB2ZIxMLRAUyLidDluXKnCBiIVzLtDwyhqOLZ8Y3QPR8K5/pXEC1H2Q==" saltValue="abKFj/SjGw1wyef7esl8ag==" spinCount="100000" sheet="1" objects="1" scenarios="1"/>
  <mergeCells count="47">
    <mergeCell ref="A27:A50"/>
    <mergeCell ref="A5:A6"/>
    <mergeCell ref="H3:K3"/>
    <mergeCell ref="A3:A4"/>
    <mergeCell ref="B3:B4"/>
    <mergeCell ref="C3:C4"/>
    <mergeCell ref="D3:D4"/>
    <mergeCell ref="E3:E4"/>
    <mergeCell ref="F3:F4"/>
    <mergeCell ref="G3:G4"/>
    <mergeCell ref="H20:H23"/>
    <mergeCell ref="H13:H14"/>
    <mergeCell ref="I35:K36"/>
    <mergeCell ref="H35:H36"/>
    <mergeCell ref="H33:H34"/>
    <mergeCell ref="H31:H32"/>
    <mergeCell ref="A1:L1"/>
    <mergeCell ref="H5:H6"/>
    <mergeCell ref="H17:H19"/>
    <mergeCell ref="H9:H10"/>
    <mergeCell ref="H11:H12"/>
    <mergeCell ref="A7:A26"/>
    <mergeCell ref="I13:K14"/>
    <mergeCell ref="I15:K16"/>
    <mergeCell ref="I20:K23"/>
    <mergeCell ref="H24:H25"/>
    <mergeCell ref="H29:H30"/>
    <mergeCell ref="I29:K30"/>
    <mergeCell ref="I31:K32"/>
    <mergeCell ref="I33:K34"/>
    <mergeCell ref="H15:H16"/>
    <mergeCell ref="H49:H50"/>
    <mergeCell ref="I24:K25"/>
    <mergeCell ref="I49:K50"/>
    <mergeCell ref="H2:L2"/>
    <mergeCell ref="I38:J38"/>
    <mergeCell ref="I40:J40"/>
    <mergeCell ref="I42:K44"/>
    <mergeCell ref="I45:K48"/>
    <mergeCell ref="H42:H44"/>
    <mergeCell ref="H45:H48"/>
    <mergeCell ref="I17:K19"/>
    <mergeCell ref="I27:K27"/>
    <mergeCell ref="I7:K7"/>
    <mergeCell ref="I5:J6"/>
    <mergeCell ref="I9:K10"/>
    <mergeCell ref="I11:K12"/>
  </mergeCells>
  <phoneticPr fontId="4"/>
  <printOptions horizontalCentered="1"/>
  <pageMargins left="0.23622047244094491" right="0.23622047244094491" top="0.51181102362204722" bottom="0.51181102362204722" header="0.31496062992125984" footer="0.31496062992125984"/>
  <pageSetup paperSize="9" scale="78"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9353-20C4-4345-8D6D-C94B0A97C11C}">
  <sheetPr codeName="Sheet5">
    <tabColor rgb="FF00B0F0"/>
  </sheetPr>
  <dimension ref="A1:AU28"/>
  <sheetViews>
    <sheetView view="pageBreakPreview" zoomScaleNormal="100" zoomScaleSheetLayoutView="100" workbookViewId="0">
      <selection activeCell="B6" sqref="B6:D6"/>
    </sheetView>
  </sheetViews>
  <sheetFormatPr defaultRowHeight="18.75" x14ac:dyDescent="0.4"/>
  <cols>
    <col min="1" max="1" width="15.375" customWidth="1"/>
    <col min="2" max="2" width="19.625" customWidth="1"/>
    <col min="3" max="3" width="18.625" customWidth="1"/>
    <col min="4" max="4" width="22.25" customWidth="1"/>
    <col min="5" max="5" width="3.125" customWidth="1"/>
    <col min="6" max="6" width="7.875" customWidth="1"/>
    <col min="7" max="7" width="22.5" customWidth="1"/>
    <col min="8" max="8" width="12.375" bestFit="1" customWidth="1"/>
    <col min="9" max="9" width="10.75" customWidth="1"/>
    <col min="10" max="10" width="15.375" customWidth="1"/>
    <col min="11" max="12" width="2.5" bestFit="1" customWidth="1"/>
    <col min="13" max="13" width="9.25" customWidth="1"/>
    <col min="14" max="21" width="9" style="111" hidden="1" customWidth="1"/>
    <col min="22" max="22" width="11.375" style="111" hidden="1" customWidth="1"/>
    <col min="23" max="23" width="8.25" style="111" hidden="1" customWidth="1"/>
    <col min="24" max="46" width="9" style="111" hidden="1" customWidth="1"/>
    <col min="47" max="47" width="9" hidden="1" customWidth="1"/>
    <col min="48" max="48" width="9" customWidth="1"/>
  </cols>
  <sheetData>
    <row r="1" spans="1:47" ht="24" x14ac:dyDescent="0.4">
      <c r="A1" s="339" t="str">
        <f>お知らせ・記入要領!$A$1</f>
        <v>第40回 キャロットステークス 申込書</v>
      </c>
      <c r="B1" s="274"/>
      <c r="C1" s="274"/>
      <c r="D1" s="274"/>
      <c r="E1" s="340"/>
      <c r="F1" s="340"/>
      <c r="G1" s="340"/>
      <c r="H1" s="340"/>
      <c r="I1" s="340"/>
      <c r="J1" s="340"/>
      <c r="N1" s="111" t="s">
        <v>146</v>
      </c>
      <c r="O1" s="111" t="s">
        <v>147</v>
      </c>
      <c r="P1" s="111" t="s">
        <v>148</v>
      </c>
      <c r="R1" s="111" t="s">
        <v>149</v>
      </c>
      <c r="T1" s="111" t="s">
        <v>150</v>
      </c>
      <c r="V1" s="111" t="s">
        <v>151</v>
      </c>
      <c r="W1" s="111" t="s">
        <v>152</v>
      </c>
      <c r="X1" s="111" t="s">
        <v>153</v>
      </c>
      <c r="Y1" s="111" t="s">
        <v>154</v>
      </c>
      <c r="Z1" s="111" t="s">
        <v>155</v>
      </c>
      <c r="AA1" s="111" t="s">
        <v>156</v>
      </c>
      <c r="AB1" s="111" t="s">
        <v>157</v>
      </c>
      <c r="AC1" s="111" t="s">
        <v>158</v>
      </c>
      <c r="AD1" s="111" t="s">
        <v>159</v>
      </c>
      <c r="AE1" s="111" t="s">
        <v>160</v>
      </c>
      <c r="AI1" s="111" t="s">
        <v>161</v>
      </c>
      <c r="AM1" s="111" t="s">
        <v>161</v>
      </c>
      <c r="AQ1" s="111" t="s">
        <v>162</v>
      </c>
      <c r="AU1" t="s">
        <v>374</v>
      </c>
    </row>
    <row r="2" spans="1:47" ht="19.5" x14ac:dyDescent="0.4">
      <c r="A2" s="341" t="s">
        <v>370</v>
      </c>
      <c r="B2" s="342"/>
      <c r="C2" s="342"/>
      <c r="D2" s="342"/>
      <c r="E2" s="340"/>
      <c r="F2" s="340"/>
      <c r="G2" s="340"/>
      <c r="H2" s="340"/>
      <c r="I2" s="340"/>
      <c r="J2" s="340"/>
      <c r="N2" s="111">
        <f>B6</f>
        <v>0</v>
      </c>
      <c r="O2" s="111">
        <f>B5</f>
        <v>0</v>
      </c>
      <c r="P2" s="111">
        <f>A25</f>
        <v>0</v>
      </c>
      <c r="Q2" s="111">
        <f>C25</f>
        <v>0</v>
      </c>
      <c r="R2" s="111">
        <f>A26</f>
        <v>0</v>
      </c>
      <c r="S2" s="111">
        <f>C26</f>
        <v>0</v>
      </c>
      <c r="T2" s="111">
        <f>A27</f>
        <v>0</v>
      </c>
      <c r="U2" s="111">
        <f>C27</f>
        <v>0</v>
      </c>
      <c r="V2" s="120">
        <f>D3</f>
        <v>0</v>
      </c>
      <c r="W2" s="111">
        <f>B7</f>
        <v>0</v>
      </c>
      <c r="X2" s="111">
        <f>B8</f>
        <v>0</v>
      </c>
      <c r="Y2" s="111">
        <f>B9</f>
        <v>0</v>
      </c>
      <c r="Z2" s="111">
        <f>B10</f>
        <v>0</v>
      </c>
      <c r="AA2" s="111">
        <f>B11</f>
        <v>0</v>
      </c>
      <c r="AB2" s="111">
        <f>B12</f>
        <v>0</v>
      </c>
      <c r="AC2" s="111">
        <f>B13</f>
        <v>0</v>
      </c>
      <c r="AD2" s="111">
        <f>B14</f>
        <v>0</v>
      </c>
      <c r="AE2" s="111">
        <f>A18</f>
        <v>0</v>
      </c>
      <c r="AF2" s="111">
        <f>B18</f>
        <v>0</v>
      </c>
      <c r="AG2" s="111">
        <f>C18</f>
        <v>0</v>
      </c>
      <c r="AH2" s="111">
        <f>D18</f>
        <v>0</v>
      </c>
      <c r="AI2" s="111">
        <f>A19</f>
        <v>0</v>
      </c>
      <c r="AJ2" s="111">
        <f>B19</f>
        <v>0</v>
      </c>
      <c r="AK2" s="111">
        <f>C19</f>
        <v>0</v>
      </c>
      <c r="AL2" s="111">
        <f>D19</f>
        <v>0</v>
      </c>
      <c r="AM2" s="111">
        <f>A20</f>
        <v>0</v>
      </c>
      <c r="AN2" s="111">
        <f>B20</f>
        <v>0</v>
      </c>
      <c r="AO2" s="111">
        <f>C20</f>
        <v>0</v>
      </c>
      <c r="AP2" s="111">
        <f>D20</f>
        <v>0</v>
      </c>
      <c r="AQ2" s="111">
        <f>A21</f>
        <v>0</v>
      </c>
      <c r="AR2" s="111">
        <f>B21</f>
        <v>0</v>
      </c>
      <c r="AS2" s="111">
        <f>C21</f>
        <v>0</v>
      </c>
      <c r="AT2" s="111">
        <f>D21</f>
        <v>0</v>
      </c>
      <c r="AU2" s="111">
        <f>F11</f>
        <v>0</v>
      </c>
    </row>
    <row r="3" spans="1:47" ht="19.5" x14ac:dyDescent="0.4">
      <c r="A3" s="47"/>
      <c r="B3" s="49"/>
      <c r="C3" s="68"/>
      <c r="D3" s="132"/>
      <c r="H3" s="68" t="s">
        <v>142</v>
      </c>
      <c r="I3" s="68"/>
      <c r="J3" s="191"/>
    </row>
    <row r="4" spans="1:47" ht="6" customHeight="1" thickBot="1" x14ac:dyDescent="0.45"/>
    <row r="5" spans="1:47" ht="20.100000000000001" customHeight="1" x14ac:dyDescent="0.4">
      <c r="A5" s="14" t="s">
        <v>45</v>
      </c>
      <c r="B5" s="348"/>
      <c r="C5" s="348"/>
      <c r="D5" s="349"/>
      <c r="F5" s="221" t="s">
        <v>346</v>
      </c>
    </row>
    <row r="6" spans="1:47" ht="20.100000000000001" customHeight="1" x14ac:dyDescent="0.4">
      <c r="A6" s="76" t="s">
        <v>30</v>
      </c>
      <c r="B6" s="309"/>
      <c r="C6" s="309"/>
      <c r="D6" s="310"/>
      <c r="F6" s="350" t="s">
        <v>369</v>
      </c>
      <c r="G6" s="351"/>
      <c r="H6" s="351"/>
      <c r="I6" s="351"/>
      <c r="J6" s="352"/>
    </row>
    <row r="7" spans="1:47" ht="20.100000000000001" customHeight="1" x14ac:dyDescent="0.4">
      <c r="A7" s="19" t="s">
        <v>52</v>
      </c>
      <c r="B7" s="344"/>
      <c r="C7" s="344"/>
      <c r="D7" s="345"/>
      <c r="F7" s="353"/>
      <c r="G7" s="354"/>
      <c r="H7" s="354"/>
      <c r="I7" s="354"/>
      <c r="J7" s="355"/>
    </row>
    <row r="8" spans="1:47" ht="20.100000000000001" customHeight="1" x14ac:dyDescent="0.4">
      <c r="A8" s="314" t="s">
        <v>31</v>
      </c>
      <c r="B8" s="338"/>
      <c r="C8" s="325"/>
      <c r="D8" s="326"/>
      <c r="F8" s="353"/>
      <c r="G8" s="354"/>
      <c r="H8" s="354"/>
      <c r="I8" s="354"/>
      <c r="J8" s="355"/>
    </row>
    <row r="9" spans="1:47" ht="20.100000000000001" customHeight="1" x14ac:dyDescent="0.4">
      <c r="A9" s="343"/>
      <c r="B9" s="346"/>
      <c r="C9" s="346"/>
      <c r="D9" s="347"/>
      <c r="F9" s="353"/>
      <c r="G9" s="354"/>
      <c r="H9" s="354"/>
      <c r="I9" s="354"/>
      <c r="J9" s="355"/>
    </row>
    <row r="10" spans="1:47" ht="20.100000000000001" customHeight="1" x14ac:dyDescent="0.4">
      <c r="A10" s="76" t="s">
        <v>32</v>
      </c>
      <c r="B10" s="309"/>
      <c r="C10" s="309"/>
      <c r="D10" s="310"/>
      <c r="F10" s="356"/>
      <c r="G10" s="357"/>
      <c r="H10" s="357"/>
      <c r="I10" s="357"/>
      <c r="J10" s="358"/>
    </row>
    <row r="11" spans="1:47" ht="20.100000000000001" customHeight="1" x14ac:dyDescent="0.4">
      <c r="A11" s="76" t="s">
        <v>331</v>
      </c>
      <c r="B11" s="309"/>
      <c r="C11" s="309"/>
      <c r="D11" s="310"/>
      <c r="F11" s="222"/>
      <c r="G11" s="272" t="s">
        <v>347</v>
      </c>
      <c r="H11" s="273" t="s">
        <v>377</v>
      </c>
    </row>
    <row r="12" spans="1:47" ht="20.100000000000001" customHeight="1" thickBot="1" x14ac:dyDescent="0.45">
      <c r="A12" s="313" t="s">
        <v>56</v>
      </c>
      <c r="B12" s="309"/>
      <c r="C12" s="309"/>
      <c r="D12" s="310"/>
    </row>
    <row r="13" spans="1:47" ht="20.100000000000001" customHeight="1" x14ac:dyDescent="0.4">
      <c r="A13" s="314"/>
      <c r="B13" s="309"/>
      <c r="C13" s="309"/>
      <c r="D13" s="310"/>
      <c r="F13" s="129" t="s">
        <v>249</v>
      </c>
      <c r="G13" s="130"/>
      <c r="H13" s="130"/>
      <c r="I13" s="130"/>
      <c r="J13" s="131"/>
    </row>
    <row r="14" spans="1:47" ht="20.100000000000001" customHeight="1" thickBot="1" x14ac:dyDescent="0.45">
      <c r="A14" s="315"/>
      <c r="B14" s="311"/>
      <c r="C14" s="311"/>
      <c r="D14" s="312"/>
      <c r="F14" s="321"/>
      <c r="G14" s="322"/>
      <c r="H14" s="322"/>
      <c r="I14" s="322"/>
      <c r="J14" s="323"/>
    </row>
    <row r="15" spans="1:47" ht="20.100000000000001" customHeight="1" x14ac:dyDescent="0.4">
      <c r="F15" s="324"/>
      <c r="G15" s="325"/>
      <c r="H15" s="325"/>
      <c r="I15" s="325"/>
      <c r="J15" s="326"/>
    </row>
    <row r="16" spans="1:47" ht="20.100000000000001" customHeight="1" thickBot="1" x14ac:dyDescent="0.45">
      <c r="A16" s="221" t="s">
        <v>34</v>
      </c>
      <c r="F16" s="324"/>
      <c r="G16" s="325"/>
      <c r="H16" s="325"/>
      <c r="I16" s="325"/>
      <c r="J16" s="326"/>
    </row>
    <row r="17" spans="1:46" ht="20.100000000000001" customHeight="1" thickBot="1" x14ac:dyDescent="0.45">
      <c r="A17" s="21" t="s">
        <v>53</v>
      </c>
      <c r="B17" s="22" t="s">
        <v>44</v>
      </c>
      <c r="C17" s="22" t="s">
        <v>54</v>
      </c>
      <c r="D17" s="23" t="s">
        <v>55</v>
      </c>
      <c r="F17" s="327"/>
      <c r="G17" s="328"/>
      <c r="H17" s="328"/>
      <c r="I17" s="328"/>
      <c r="J17" s="329"/>
      <c r="K17" s="111"/>
      <c r="L17" s="111"/>
      <c r="M17" s="111"/>
      <c r="AP17"/>
      <c r="AQ17"/>
      <c r="AR17"/>
      <c r="AS17"/>
      <c r="AT17"/>
    </row>
    <row r="18" spans="1:46" ht="20.100000000000001" customHeight="1" thickBot="1" x14ac:dyDescent="0.45">
      <c r="A18" s="185"/>
      <c r="B18" s="186"/>
      <c r="C18" s="186"/>
      <c r="D18" s="187"/>
      <c r="K18" s="111"/>
      <c r="L18" s="111"/>
      <c r="M18" s="111"/>
      <c r="AP18"/>
      <c r="AQ18"/>
      <c r="AR18"/>
      <c r="AS18"/>
      <c r="AT18"/>
    </row>
    <row r="19" spans="1:46" ht="20.100000000000001" customHeight="1" x14ac:dyDescent="0.4">
      <c r="A19" s="185"/>
      <c r="B19" s="186"/>
      <c r="C19" s="186"/>
      <c r="D19" s="187"/>
      <c r="F19" s="330" t="s">
        <v>312</v>
      </c>
      <c r="G19" s="331"/>
      <c r="H19" s="200">
        <f>設定!B13</f>
        <v>12000</v>
      </c>
      <c r="I19" s="201">
        <f>馬匹登録!F4</f>
        <v>0</v>
      </c>
      <c r="J19" s="202">
        <f>$H$19*$I$19</f>
        <v>0</v>
      </c>
      <c r="K19" s="111"/>
      <c r="L19" s="111"/>
      <c r="M19" s="111"/>
      <c r="AP19"/>
      <c r="AQ19"/>
      <c r="AR19"/>
      <c r="AS19"/>
      <c r="AT19"/>
    </row>
    <row r="20" spans="1:46" ht="20.100000000000001" customHeight="1" x14ac:dyDescent="0.4">
      <c r="A20" s="185"/>
      <c r="B20" s="186"/>
      <c r="C20" s="186"/>
      <c r="D20" s="187"/>
      <c r="F20" s="332" t="s">
        <v>57</v>
      </c>
      <c r="G20" s="333"/>
      <c r="H20" s="203"/>
      <c r="I20" s="199" t="str">
        <f>エントリー!J3</f>
        <v/>
      </c>
      <c r="J20" s="204" t="str">
        <f>エントリー!H3</f>
        <v/>
      </c>
      <c r="K20" s="111"/>
      <c r="L20" s="111"/>
      <c r="M20" s="111"/>
      <c r="AP20"/>
      <c r="AQ20"/>
      <c r="AR20"/>
      <c r="AS20"/>
      <c r="AT20"/>
    </row>
    <row r="21" spans="1:46" ht="20.100000000000001" customHeight="1" thickBot="1" x14ac:dyDescent="0.45">
      <c r="A21" s="188"/>
      <c r="B21" s="189"/>
      <c r="C21" s="189"/>
      <c r="D21" s="190"/>
      <c r="F21" s="332"/>
      <c r="G21" s="333"/>
      <c r="H21" s="205"/>
      <c r="I21" s="206"/>
      <c r="J21" s="204" t="str">
        <f>IF($I$21&lt;&gt;"",$H$21,"")</f>
        <v/>
      </c>
    </row>
    <row r="22" spans="1:46" ht="20.100000000000001" customHeight="1" thickBot="1" x14ac:dyDescent="0.45">
      <c r="F22" s="334"/>
      <c r="G22" s="335"/>
      <c r="H22" s="207"/>
      <c r="I22" s="208"/>
      <c r="J22" s="209"/>
    </row>
    <row r="23" spans="1:46" ht="20.100000000000001" customHeight="1" thickTop="1" thickBot="1" x14ac:dyDescent="0.45">
      <c r="A23" s="221" t="s">
        <v>35</v>
      </c>
      <c r="F23" s="336" t="s">
        <v>58</v>
      </c>
      <c r="G23" s="337"/>
      <c r="H23" s="210"/>
      <c r="I23" s="211"/>
      <c r="J23" s="212">
        <f>SUM(J19:J22)</f>
        <v>0</v>
      </c>
    </row>
    <row r="24" spans="1:46" ht="20.100000000000001" customHeight="1" x14ac:dyDescent="0.4">
      <c r="A24" s="316" t="s">
        <v>30</v>
      </c>
      <c r="B24" s="317"/>
      <c r="C24" s="317" t="s">
        <v>45</v>
      </c>
      <c r="D24" s="318"/>
    </row>
    <row r="25" spans="1:46" ht="20.100000000000001" customHeight="1" x14ac:dyDescent="0.4">
      <c r="A25" s="319"/>
      <c r="B25" s="309"/>
      <c r="C25" s="309"/>
      <c r="D25" s="310"/>
      <c r="I25" s="111"/>
      <c r="J25" s="111"/>
    </row>
    <row r="26" spans="1:46" ht="20.100000000000001" customHeight="1" x14ac:dyDescent="0.4">
      <c r="A26" s="319"/>
      <c r="B26" s="309"/>
      <c r="C26" s="309"/>
      <c r="D26" s="310"/>
      <c r="I26" s="111"/>
      <c r="J26" s="111"/>
    </row>
    <row r="27" spans="1:46" ht="20.100000000000001" customHeight="1" thickBot="1" x14ac:dyDescent="0.45">
      <c r="A27" s="320"/>
      <c r="B27" s="311"/>
      <c r="C27" s="311"/>
      <c r="D27" s="312"/>
      <c r="I27" s="111"/>
      <c r="J27" s="111"/>
    </row>
    <row r="28" spans="1:46" x14ac:dyDescent="0.4">
      <c r="I28" s="111"/>
      <c r="J28" s="111"/>
    </row>
  </sheetData>
  <sheetProtection algorithmName="SHA-512" hashValue="iPu26SCbpKqbJTJyZTvNjzNGcq+Yn1M/zJWPs57Wr9wh57JdK5o19gQGP62qTe3uVx2IwPRopfLjm9izyrJVfQ==" saltValue="fFsq/ibgouRtGd8HSnE1/g==" spinCount="100000" sheet="1" objects="1" scenarios="1"/>
  <mergeCells count="32">
    <mergeCell ref="B10:D10"/>
    <mergeCell ref="B11:D11"/>
    <mergeCell ref="B8:D8"/>
    <mergeCell ref="A1:J1"/>
    <mergeCell ref="A2:J2"/>
    <mergeCell ref="A8:A9"/>
    <mergeCell ref="B6:D6"/>
    <mergeCell ref="B7:D7"/>
    <mergeCell ref="B9:D9"/>
    <mergeCell ref="B5:D5"/>
    <mergeCell ref="F6:J10"/>
    <mergeCell ref="F14:J14"/>
    <mergeCell ref="F15:J15"/>
    <mergeCell ref="F16:J16"/>
    <mergeCell ref="F17:J17"/>
    <mergeCell ref="C25:D25"/>
    <mergeCell ref="F19:G19"/>
    <mergeCell ref="F20:G20"/>
    <mergeCell ref="F21:G21"/>
    <mergeCell ref="F22:G22"/>
    <mergeCell ref="F23:G23"/>
    <mergeCell ref="C26:D26"/>
    <mergeCell ref="C27:D27"/>
    <mergeCell ref="A25:B25"/>
    <mergeCell ref="A26:B26"/>
    <mergeCell ref="A27:B27"/>
    <mergeCell ref="B12:D12"/>
    <mergeCell ref="B13:D13"/>
    <mergeCell ref="B14:D14"/>
    <mergeCell ref="A12:A14"/>
    <mergeCell ref="A24:B24"/>
    <mergeCell ref="C24:D24"/>
  </mergeCells>
  <phoneticPr fontId="4"/>
  <dataValidations count="1">
    <dataValidation type="list" allowBlank="1" showInputMessage="1" showErrorMessage="1" sqref="F11" xr:uid="{647EAC7E-3D81-499D-83A4-3E4FA330F19C}">
      <formula1>"✔"</formula1>
    </dataValidation>
  </dataValidations>
  <printOptions horizontalCentered="1"/>
  <pageMargins left="0.39370078740157483" right="0.39370078740157483" top="0.59055118110236227" bottom="0.59055118110236227" header="0.31496062992125984" footer="0.31496062992125984"/>
  <pageSetup paperSize="9" scale="86" orientation="landscape" horizontalDpi="1200" verticalDpi="1200" r:id="rId1"/>
  <rowBreaks count="1" manualBreakCount="1">
    <brk id="27"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EC0A4-1FE0-4A34-B4BB-0955B802B533}">
  <sheetPr codeName="Sheet6">
    <tabColor rgb="FF00B0F0"/>
  </sheetPr>
  <dimension ref="A1:AI56"/>
  <sheetViews>
    <sheetView view="pageBreakPreview" zoomScaleNormal="100" zoomScaleSheetLayoutView="100" workbookViewId="0">
      <selection activeCell="B7" sqref="B7"/>
    </sheetView>
  </sheetViews>
  <sheetFormatPr defaultRowHeight="18.75" x14ac:dyDescent="0.4"/>
  <cols>
    <col min="1" max="1" width="5.25" bestFit="1" customWidth="1"/>
    <col min="2" max="5" width="15" customWidth="1"/>
    <col min="6" max="6" width="17.375" customWidth="1"/>
    <col min="7" max="7" width="10.625" customWidth="1"/>
    <col min="8" max="8" width="37.375" customWidth="1"/>
    <col min="9" max="9" width="17.25" customWidth="1"/>
    <col min="10" max="10" width="12.625" bestFit="1" customWidth="1"/>
    <col min="11" max="11" width="12.625" customWidth="1"/>
    <col min="12" max="14" width="9" hidden="1" customWidth="1"/>
    <col min="15" max="15" width="3.5" hidden="1" customWidth="1"/>
    <col min="16" max="18" width="9" hidden="1" customWidth="1"/>
    <col min="19" max="19" width="5.25" hidden="1" customWidth="1"/>
    <col min="20" max="20" width="9" hidden="1" customWidth="1"/>
    <col min="21" max="21" width="5.25" hidden="1" customWidth="1"/>
    <col min="22" max="25" width="9" hidden="1" customWidth="1"/>
    <col min="26" max="27" width="5.25" hidden="1" customWidth="1"/>
    <col min="28" max="29" width="9" hidden="1" customWidth="1"/>
    <col min="30" max="30" width="9.5" hidden="1" customWidth="1"/>
    <col min="31" max="33" width="9" hidden="1" customWidth="1"/>
    <col min="34" max="34" width="17.375" hidden="1" customWidth="1"/>
    <col min="35" max="35" width="9" hidden="1" customWidth="1"/>
    <col min="36" max="36" width="9" customWidth="1"/>
  </cols>
  <sheetData>
    <row r="1" spans="1:35" ht="24" x14ac:dyDescent="0.5">
      <c r="A1" s="339" t="str">
        <f>お知らせ・記入要領!$A$1</f>
        <v>第40回 キャロットステークス 申込書</v>
      </c>
      <c r="B1" s="274"/>
      <c r="C1" s="274"/>
      <c r="D1" s="274"/>
      <c r="E1" s="363"/>
      <c r="F1" s="363"/>
      <c r="G1" s="363"/>
      <c r="H1" s="363"/>
      <c r="I1" s="363"/>
      <c r="J1" s="30"/>
      <c r="K1" s="136"/>
    </row>
    <row r="2" spans="1:35" ht="19.5" x14ac:dyDescent="0.4">
      <c r="A2" s="341" t="s">
        <v>296</v>
      </c>
      <c r="B2" s="368"/>
      <c r="C2" s="368"/>
      <c r="D2" s="368"/>
      <c r="E2" s="368"/>
      <c r="F2" s="368"/>
      <c r="G2" s="368"/>
      <c r="H2" s="368"/>
      <c r="I2" s="368"/>
      <c r="J2" s="30"/>
      <c r="K2" s="136"/>
    </row>
    <row r="3" spans="1:35" ht="24" customHeight="1" x14ac:dyDescent="0.4">
      <c r="A3" s="364" t="str">
        <f>"団体名：" &amp; 団体登録!B6</f>
        <v>団体名：</v>
      </c>
      <c r="B3" s="364"/>
      <c r="C3" s="364"/>
      <c r="D3" s="365"/>
      <c r="E3" s="365"/>
      <c r="H3" s="70" t="s">
        <v>142</v>
      </c>
      <c r="I3" s="74" t="str">
        <f>IF(団体登録!$J$3&lt;&gt;"",団体登録!$J$3,"")</f>
        <v/>
      </c>
      <c r="AF3" t="s">
        <v>293</v>
      </c>
      <c r="AG3" t="str">
        <f>ADDRESS(ROW(選手登録!$AH$7),COLUMN(選手登録!$AH$7),1,1,"選手登録") &amp;":"&amp;ADDRESS(ROW(選手登録!$AH$7)+選手登録!$AH$6,COLUMN(選手登録!$AH$7),1,1)</f>
        <v>選手登録!$AH$7:$AH$7</v>
      </c>
    </row>
    <row r="4" spans="1:35" ht="3.75" customHeight="1" thickBot="1" x14ac:dyDescent="0.45"/>
    <row r="5" spans="1:35" ht="18" customHeight="1" x14ac:dyDescent="0.4">
      <c r="A5" s="361" t="s">
        <v>36</v>
      </c>
      <c r="B5" s="369" t="s">
        <v>199</v>
      </c>
      <c r="C5" s="369"/>
      <c r="D5" s="369" t="s">
        <v>45</v>
      </c>
      <c r="E5" s="369"/>
      <c r="F5" s="369" t="s">
        <v>70</v>
      </c>
      <c r="G5" s="366" t="s">
        <v>414</v>
      </c>
      <c r="H5" s="371" t="s">
        <v>63</v>
      </c>
      <c r="I5" s="359" t="s">
        <v>64</v>
      </c>
      <c r="J5" s="36"/>
      <c r="K5" s="36"/>
      <c r="L5" s="123" t="s">
        <v>327</v>
      </c>
      <c r="M5" s="9"/>
      <c r="N5" s="9"/>
      <c r="O5" s="9"/>
      <c r="P5" s="9"/>
      <c r="Q5" s="9"/>
      <c r="R5" s="9"/>
      <c r="S5" s="124"/>
      <c r="U5" s="99" t="s">
        <v>174</v>
      </c>
      <c r="V5" s="99"/>
      <c r="W5" s="99"/>
      <c r="X5" s="99"/>
      <c r="Y5" s="99"/>
      <c r="Z5" s="99"/>
      <c r="AA5" s="99"/>
      <c r="AB5" s="99"/>
      <c r="AC5" s="99"/>
      <c r="AD5" s="99"/>
      <c r="AF5" s="99" t="s">
        <v>289</v>
      </c>
      <c r="AG5" s="99"/>
      <c r="AH5" s="198"/>
      <c r="AI5" s="99"/>
    </row>
    <row r="6" spans="1:35" ht="18" customHeight="1" x14ac:dyDescent="0.4">
      <c r="A6" s="362"/>
      <c r="B6" s="38" t="s">
        <v>37</v>
      </c>
      <c r="C6" s="39" t="s">
        <v>38</v>
      </c>
      <c r="D6" s="40" t="s">
        <v>39</v>
      </c>
      <c r="E6" s="39" t="s">
        <v>40</v>
      </c>
      <c r="F6" s="370"/>
      <c r="G6" s="367"/>
      <c r="H6" s="370"/>
      <c r="I6" s="360"/>
      <c r="J6" s="36" t="s">
        <v>62</v>
      </c>
      <c r="K6" s="36"/>
      <c r="L6" s="159" t="s">
        <v>43</v>
      </c>
      <c r="M6" s="140" t="s">
        <v>285</v>
      </c>
      <c r="N6" s="140" t="s">
        <v>286</v>
      </c>
      <c r="O6" s="140"/>
      <c r="P6" s="140" t="s">
        <v>130</v>
      </c>
      <c r="Q6" s="140" t="s">
        <v>131</v>
      </c>
      <c r="R6" s="140" t="s">
        <v>173</v>
      </c>
      <c r="S6" s="160" t="s">
        <v>169</v>
      </c>
      <c r="U6" s="99" t="s">
        <v>163</v>
      </c>
      <c r="V6" s="99" t="s">
        <v>164</v>
      </c>
      <c r="W6" s="99" t="s">
        <v>165</v>
      </c>
      <c r="X6" s="99" t="s">
        <v>166</v>
      </c>
      <c r="Y6" s="99" t="s">
        <v>167</v>
      </c>
      <c r="Z6" s="99" t="s">
        <v>168</v>
      </c>
      <c r="AA6" s="99" t="s">
        <v>169</v>
      </c>
      <c r="AB6" s="99" t="s">
        <v>170</v>
      </c>
      <c r="AC6" s="99" t="s">
        <v>171</v>
      </c>
      <c r="AD6" s="99" t="s">
        <v>172</v>
      </c>
      <c r="AF6" s="99" t="s">
        <v>326</v>
      </c>
      <c r="AG6" s="99"/>
      <c r="AH6" s="198">
        <f>SUMPRODUCT((選手登録!$AH$7:$AH$46&lt;&gt;"")*1)</f>
        <v>0</v>
      </c>
      <c r="AI6" s="99"/>
    </row>
    <row r="7" spans="1:35" ht="21.95" customHeight="1" x14ac:dyDescent="0.4">
      <c r="A7" s="76">
        <v>1</v>
      </c>
      <c r="B7" s="143"/>
      <c r="C7" s="144"/>
      <c r="D7" s="143"/>
      <c r="E7" s="144"/>
      <c r="F7" s="145"/>
      <c r="G7" s="146"/>
      <c r="H7" s="147"/>
      <c r="I7" s="148"/>
      <c r="J7" s="37" t="str">
        <f>IF(L7&lt;&gt;"",COUNTIF(エントリー!$D$6:$D$85,A7),"")</f>
        <v/>
      </c>
      <c r="K7" s="37"/>
      <c r="L7" s="159" t="str">
        <f t="shared" ref="L7:L31" si="0">IF(B7&lt;&gt;"",B7&amp;" "&amp;C7,"")</f>
        <v/>
      </c>
      <c r="M7" s="140" t="str">
        <f t="shared" ref="M7:M31" si="1">IF(F7&lt;&gt;"",F7,"")</f>
        <v/>
      </c>
      <c r="N7" s="140" t="str">
        <f t="shared" ref="N7:N31" si="2">IF(H7&lt;&gt;"",H7,"")</f>
        <v/>
      </c>
      <c r="O7" s="140">
        <f t="shared" ref="O7:O31" si="3">A7</f>
        <v>1</v>
      </c>
      <c r="P7" s="140" t="str">
        <f>IFERROR(VLOOKUP(H7,リスト!$E$10:$G$50,2,FALSE),"")</f>
        <v/>
      </c>
      <c r="Q7" s="140" t="str">
        <f>IFERROR(VLOOKUP(H7,リスト!$E$10:$G$50,3,FALSE),"")</f>
        <v/>
      </c>
      <c r="R7" s="140" t="str">
        <f>IFERROR(VLOOKUP(F7,リスト!$B$2:$C$7,2,FALSE),"")</f>
        <v/>
      </c>
      <c r="S7" s="160" t="str">
        <f>IFERROR(VLOOKUP(G7,リスト!$K$2:$L$3,2,FALSE),"")</f>
        <v/>
      </c>
      <c r="U7" s="99">
        <f t="shared" ref="U7:U31" si="4">A7</f>
        <v>1</v>
      </c>
      <c r="V7" s="99" t="str">
        <f t="shared" ref="V7:V38" si="5">IF(B7&lt;&gt;"",B7,"")</f>
        <v/>
      </c>
      <c r="W7" s="99" t="str">
        <f t="shared" ref="W7:W38" si="6">IF(C7&lt;&gt;"",C7,"")</f>
        <v/>
      </c>
      <c r="X7" s="99" t="str">
        <f t="shared" ref="X7:X38" si="7">IF(D7&lt;&gt;"",D7,"")</f>
        <v/>
      </c>
      <c r="Y7" s="99" t="str">
        <f t="shared" ref="Y7:Y38" si="8">IF(E7&lt;&gt;"",E7,"")</f>
        <v/>
      </c>
      <c r="Z7" s="99" t="str">
        <f>IF(R7&lt;&gt;"",R7,"")</f>
        <v/>
      </c>
      <c r="AA7" s="99" t="str">
        <f>IF(S7&lt;&gt;"",S7,"")</f>
        <v/>
      </c>
      <c r="AB7" s="99" t="str">
        <f t="shared" ref="AB7:AB38" si="9">IF(B7&lt;&gt;"",P7,"")</f>
        <v/>
      </c>
      <c r="AC7" s="99" t="str">
        <f t="shared" ref="AC7:AC38" si="10">IF(B7&lt;&gt;"",Q7,"")</f>
        <v/>
      </c>
      <c r="AD7" s="99" t="str">
        <f t="shared" ref="AD7:AD38" si="11">IF(I7&lt;&gt;"",I7,"")</f>
        <v/>
      </c>
      <c r="AF7" s="99">
        <f>IF(L7&lt;&gt;"",1,0)</f>
        <v>0</v>
      </c>
      <c r="AG7" s="99" t="str">
        <f>L7</f>
        <v/>
      </c>
      <c r="AH7" s="198" t="str">
        <f>IFERROR(VLOOKUP(ROW(AH7)-ROW($AH$7)+1,$AF$7:$AG$56,2,FALSE),"")</f>
        <v/>
      </c>
      <c r="AI7" s="99"/>
    </row>
    <row r="8" spans="1:35" ht="21.95" customHeight="1" x14ac:dyDescent="0.4">
      <c r="A8" s="76">
        <v>2</v>
      </c>
      <c r="B8" s="143"/>
      <c r="C8" s="144"/>
      <c r="D8" s="143"/>
      <c r="E8" s="144"/>
      <c r="F8" s="145"/>
      <c r="G8" s="146"/>
      <c r="H8" s="147"/>
      <c r="I8" s="148"/>
      <c r="J8" s="37" t="str">
        <f>IF(L8&lt;&gt;"",COUNTIF(エントリー!$D$6:$D$85,A8),"")</f>
        <v/>
      </c>
      <c r="K8" s="37"/>
      <c r="L8" s="159" t="str">
        <f t="shared" si="0"/>
        <v/>
      </c>
      <c r="M8" s="140" t="str">
        <f t="shared" si="1"/>
        <v/>
      </c>
      <c r="N8" s="140" t="str">
        <f t="shared" si="2"/>
        <v/>
      </c>
      <c r="O8" s="140">
        <f t="shared" si="3"/>
        <v>2</v>
      </c>
      <c r="P8" s="140" t="str">
        <f>IFERROR(VLOOKUP(H8,リスト!$E$10:$G$50,2,FALSE),"")</f>
        <v/>
      </c>
      <c r="Q8" s="140" t="str">
        <f>IFERROR(VLOOKUP(H8,リスト!$E$10:$G$50,3,FALSE),"")</f>
        <v/>
      </c>
      <c r="R8" s="140" t="str">
        <f>IFERROR(VLOOKUP(F8,リスト!$B$2:$C$7,2,FALSE),"")</f>
        <v/>
      </c>
      <c r="S8" s="160" t="str">
        <f>IFERROR(VLOOKUP(G8,リスト!$K$2:$L$3,2,FALSE),"")</f>
        <v/>
      </c>
      <c r="U8" s="99">
        <f t="shared" si="4"/>
        <v>2</v>
      </c>
      <c r="V8" s="99" t="str">
        <f t="shared" si="5"/>
        <v/>
      </c>
      <c r="W8" s="99" t="str">
        <f t="shared" si="6"/>
        <v/>
      </c>
      <c r="X8" s="99" t="str">
        <f t="shared" si="7"/>
        <v/>
      </c>
      <c r="Y8" s="99" t="str">
        <f t="shared" si="8"/>
        <v/>
      </c>
      <c r="Z8" s="99" t="str">
        <f t="shared" ref="Z8:Z31" si="12">IF(R8&lt;&gt;"",R8,"")</f>
        <v/>
      </c>
      <c r="AA8" s="99" t="str">
        <f t="shared" ref="AA8:AA31" si="13">IF(S8&lt;&gt;"",S8,"")</f>
        <v/>
      </c>
      <c r="AB8" s="99" t="str">
        <f t="shared" si="9"/>
        <v/>
      </c>
      <c r="AC8" s="99" t="str">
        <f t="shared" si="10"/>
        <v/>
      </c>
      <c r="AD8" s="99" t="str">
        <f t="shared" si="11"/>
        <v/>
      </c>
      <c r="AF8" s="99">
        <f>IF(L8&lt;&gt;"",AF7+1,AF7)</f>
        <v>0</v>
      </c>
      <c r="AG8" s="99" t="str">
        <f t="shared" ref="AG8:AG31" si="14">L8</f>
        <v/>
      </c>
      <c r="AH8" s="198" t="str">
        <f t="shared" ref="AH8:AH56" si="15">IFERROR(VLOOKUP(ROW(AH8)-ROW($AH$7)+1,$AF$7:$AG$56,2,FALSE),"")</f>
        <v/>
      </c>
      <c r="AI8" s="99"/>
    </row>
    <row r="9" spans="1:35" ht="21.95" customHeight="1" x14ac:dyDescent="0.4">
      <c r="A9" s="76">
        <v>3</v>
      </c>
      <c r="B9" s="143"/>
      <c r="C9" s="144"/>
      <c r="D9" s="143"/>
      <c r="E9" s="144"/>
      <c r="F9" s="145"/>
      <c r="G9" s="146"/>
      <c r="H9" s="147"/>
      <c r="I9" s="148"/>
      <c r="J9" s="37" t="str">
        <f>IF(L9&lt;&gt;"",COUNTIF(エントリー!$D$6:$D$85,A9),"")</f>
        <v/>
      </c>
      <c r="K9" s="37"/>
      <c r="L9" s="159" t="str">
        <f t="shared" si="0"/>
        <v/>
      </c>
      <c r="M9" s="140" t="str">
        <f t="shared" si="1"/>
        <v/>
      </c>
      <c r="N9" s="140" t="str">
        <f t="shared" si="2"/>
        <v/>
      </c>
      <c r="O9" s="140">
        <f t="shared" si="3"/>
        <v>3</v>
      </c>
      <c r="P9" s="140" t="str">
        <f>IFERROR(VLOOKUP(H9,リスト!$E$10:$G$50,2,FALSE),"")</f>
        <v/>
      </c>
      <c r="Q9" s="140" t="str">
        <f>IFERROR(VLOOKUP(H9,リスト!$E$10:$G$50,3,FALSE),"")</f>
        <v/>
      </c>
      <c r="R9" s="140" t="str">
        <f>IFERROR(VLOOKUP(F9,リスト!$B$2:$C$7,2,FALSE),"")</f>
        <v/>
      </c>
      <c r="S9" s="160" t="str">
        <f>IFERROR(VLOOKUP(G9,リスト!$K$2:$L$3,2,FALSE),"")</f>
        <v/>
      </c>
      <c r="U9" s="99">
        <f t="shared" si="4"/>
        <v>3</v>
      </c>
      <c r="V9" s="99" t="str">
        <f t="shared" si="5"/>
        <v/>
      </c>
      <c r="W9" s="99" t="str">
        <f t="shared" si="6"/>
        <v/>
      </c>
      <c r="X9" s="99" t="str">
        <f t="shared" si="7"/>
        <v/>
      </c>
      <c r="Y9" s="99" t="str">
        <f t="shared" si="8"/>
        <v/>
      </c>
      <c r="Z9" s="99" t="str">
        <f t="shared" si="12"/>
        <v/>
      </c>
      <c r="AA9" s="99" t="str">
        <f t="shared" si="13"/>
        <v/>
      </c>
      <c r="AB9" s="99" t="str">
        <f t="shared" si="9"/>
        <v/>
      </c>
      <c r="AC9" s="99" t="str">
        <f t="shared" si="10"/>
        <v/>
      </c>
      <c r="AD9" s="99" t="str">
        <f t="shared" si="11"/>
        <v/>
      </c>
      <c r="AF9" s="99">
        <f t="shared" ref="AF9:AF55" si="16">IF(L9&lt;&gt;"",AF8+1,AF8)</f>
        <v>0</v>
      </c>
      <c r="AG9" s="99" t="str">
        <f t="shared" si="14"/>
        <v/>
      </c>
      <c r="AH9" s="198" t="str">
        <f t="shared" si="15"/>
        <v/>
      </c>
      <c r="AI9" s="99"/>
    </row>
    <row r="10" spans="1:35" ht="21.95" customHeight="1" x14ac:dyDescent="0.4">
      <c r="A10" s="76">
        <v>4</v>
      </c>
      <c r="B10" s="143"/>
      <c r="C10" s="144"/>
      <c r="D10" s="143"/>
      <c r="E10" s="144"/>
      <c r="F10" s="145"/>
      <c r="G10" s="146"/>
      <c r="H10" s="147"/>
      <c r="I10" s="148"/>
      <c r="J10" s="37" t="str">
        <f>IF(L10&lt;&gt;"",COUNTIF(エントリー!$D$6:$D$85,A10),"")</f>
        <v/>
      </c>
      <c r="K10" s="37"/>
      <c r="L10" s="159" t="str">
        <f t="shared" si="0"/>
        <v/>
      </c>
      <c r="M10" s="140" t="str">
        <f t="shared" si="1"/>
        <v/>
      </c>
      <c r="N10" s="140" t="str">
        <f t="shared" si="2"/>
        <v/>
      </c>
      <c r="O10" s="140">
        <f t="shared" si="3"/>
        <v>4</v>
      </c>
      <c r="P10" s="140" t="str">
        <f>IFERROR(VLOOKUP(H10,リスト!$E$10:$G$50,2,FALSE),"")</f>
        <v/>
      </c>
      <c r="Q10" s="140" t="str">
        <f>IFERROR(VLOOKUP(H10,リスト!$E$10:$G$50,3,FALSE),"")</f>
        <v/>
      </c>
      <c r="R10" s="140" t="str">
        <f>IFERROR(VLOOKUP(F10,リスト!$B$2:$C$7,2,FALSE),"")</f>
        <v/>
      </c>
      <c r="S10" s="160" t="str">
        <f>IFERROR(VLOOKUP(G10,リスト!$K$2:$L$3,2,FALSE),"")</f>
        <v/>
      </c>
      <c r="U10" s="99">
        <f t="shared" si="4"/>
        <v>4</v>
      </c>
      <c r="V10" s="99" t="str">
        <f t="shared" si="5"/>
        <v/>
      </c>
      <c r="W10" s="99" t="str">
        <f t="shared" si="6"/>
        <v/>
      </c>
      <c r="X10" s="99" t="str">
        <f t="shared" si="7"/>
        <v/>
      </c>
      <c r="Y10" s="99" t="str">
        <f t="shared" si="8"/>
        <v/>
      </c>
      <c r="Z10" s="99" t="str">
        <f t="shared" si="12"/>
        <v/>
      </c>
      <c r="AA10" s="99" t="str">
        <f t="shared" si="13"/>
        <v/>
      </c>
      <c r="AB10" s="99" t="str">
        <f t="shared" si="9"/>
        <v/>
      </c>
      <c r="AC10" s="99" t="str">
        <f t="shared" si="10"/>
        <v/>
      </c>
      <c r="AD10" s="99" t="str">
        <f t="shared" si="11"/>
        <v/>
      </c>
      <c r="AF10" s="99">
        <f t="shared" si="16"/>
        <v>0</v>
      </c>
      <c r="AG10" s="99" t="str">
        <f t="shared" si="14"/>
        <v/>
      </c>
      <c r="AH10" s="198" t="str">
        <f t="shared" si="15"/>
        <v/>
      </c>
      <c r="AI10" s="99"/>
    </row>
    <row r="11" spans="1:35" ht="21.95" customHeight="1" x14ac:dyDescent="0.4">
      <c r="A11" s="76">
        <v>5</v>
      </c>
      <c r="B11" s="143"/>
      <c r="C11" s="144"/>
      <c r="D11" s="143"/>
      <c r="E11" s="144"/>
      <c r="F11" s="145"/>
      <c r="G11" s="146"/>
      <c r="H11" s="147"/>
      <c r="I11" s="148"/>
      <c r="J11" s="37" t="str">
        <f>IF(L11&lt;&gt;"",COUNTIF(エントリー!$D$6:$D$85,A11),"")</f>
        <v/>
      </c>
      <c r="K11" s="37"/>
      <c r="L11" s="159" t="str">
        <f t="shared" si="0"/>
        <v/>
      </c>
      <c r="M11" s="140" t="str">
        <f t="shared" si="1"/>
        <v/>
      </c>
      <c r="N11" s="140" t="str">
        <f t="shared" si="2"/>
        <v/>
      </c>
      <c r="O11" s="140">
        <f t="shared" si="3"/>
        <v>5</v>
      </c>
      <c r="P11" s="140" t="str">
        <f>IFERROR(VLOOKUP(H11,リスト!$E$10:$G$50,2,FALSE),"")</f>
        <v/>
      </c>
      <c r="Q11" s="140" t="str">
        <f>IFERROR(VLOOKUP(H11,リスト!$E$10:$G$50,3,FALSE),"")</f>
        <v/>
      </c>
      <c r="R11" s="140" t="str">
        <f>IFERROR(VLOOKUP(F11,リスト!$B$2:$C$7,2,FALSE),"")</f>
        <v/>
      </c>
      <c r="S11" s="160" t="str">
        <f>IFERROR(VLOOKUP(G11,リスト!$K$2:$L$3,2,FALSE),"")</f>
        <v/>
      </c>
      <c r="U11" s="99">
        <f t="shared" si="4"/>
        <v>5</v>
      </c>
      <c r="V11" s="99" t="str">
        <f t="shared" si="5"/>
        <v/>
      </c>
      <c r="W11" s="99" t="str">
        <f t="shared" si="6"/>
        <v/>
      </c>
      <c r="X11" s="99" t="str">
        <f t="shared" si="7"/>
        <v/>
      </c>
      <c r="Y11" s="99" t="str">
        <f t="shared" si="8"/>
        <v/>
      </c>
      <c r="Z11" s="99" t="str">
        <f t="shared" si="12"/>
        <v/>
      </c>
      <c r="AA11" s="99" t="str">
        <f t="shared" si="13"/>
        <v/>
      </c>
      <c r="AB11" s="99" t="str">
        <f t="shared" si="9"/>
        <v/>
      </c>
      <c r="AC11" s="99" t="str">
        <f t="shared" si="10"/>
        <v/>
      </c>
      <c r="AD11" s="99" t="str">
        <f t="shared" si="11"/>
        <v/>
      </c>
      <c r="AF11" s="99">
        <f t="shared" si="16"/>
        <v>0</v>
      </c>
      <c r="AG11" s="99" t="str">
        <f t="shared" si="14"/>
        <v/>
      </c>
      <c r="AH11" s="198" t="str">
        <f t="shared" si="15"/>
        <v/>
      </c>
      <c r="AI11" s="99"/>
    </row>
    <row r="12" spans="1:35" ht="21.95" customHeight="1" x14ac:dyDescent="0.4">
      <c r="A12" s="76">
        <v>6</v>
      </c>
      <c r="B12" s="143"/>
      <c r="C12" s="144"/>
      <c r="D12" s="143"/>
      <c r="E12" s="144"/>
      <c r="F12" s="145"/>
      <c r="G12" s="146"/>
      <c r="H12" s="147"/>
      <c r="I12" s="148"/>
      <c r="J12" s="37" t="str">
        <f>IF(L12&lt;&gt;"",COUNTIF(エントリー!$D$6:$D$85,A12),"")</f>
        <v/>
      </c>
      <c r="K12" s="37"/>
      <c r="L12" s="159" t="str">
        <f t="shared" si="0"/>
        <v/>
      </c>
      <c r="M12" s="140" t="str">
        <f t="shared" si="1"/>
        <v/>
      </c>
      <c r="N12" s="140" t="str">
        <f t="shared" si="2"/>
        <v/>
      </c>
      <c r="O12" s="140">
        <f t="shared" si="3"/>
        <v>6</v>
      </c>
      <c r="P12" s="140" t="str">
        <f>IFERROR(VLOOKUP(H12,リスト!$E$10:$G$50,2,FALSE),"")</f>
        <v/>
      </c>
      <c r="Q12" s="140" t="str">
        <f>IFERROR(VLOOKUP(H12,リスト!$E$10:$G$50,3,FALSE),"")</f>
        <v/>
      </c>
      <c r="R12" s="140" t="str">
        <f>IFERROR(VLOOKUP(F12,リスト!$B$2:$C$7,2,FALSE),"")</f>
        <v/>
      </c>
      <c r="S12" s="160" t="str">
        <f>IFERROR(VLOOKUP(G12,リスト!$K$2:$L$3,2,FALSE),"")</f>
        <v/>
      </c>
      <c r="U12" s="99">
        <f t="shared" si="4"/>
        <v>6</v>
      </c>
      <c r="V12" s="99" t="str">
        <f t="shared" si="5"/>
        <v/>
      </c>
      <c r="W12" s="99" t="str">
        <f t="shared" si="6"/>
        <v/>
      </c>
      <c r="X12" s="99" t="str">
        <f t="shared" si="7"/>
        <v/>
      </c>
      <c r="Y12" s="99" t="str">
        <f t="shared" si="8"/>
        <v/>
      </c>
      <c r="Z12" s="99" t="str">
        <f t="shared" si="12"/>
        <v/>
      </c>
      <c r="AA12" s="99" t="str">
        <f t="shared" si="13"/>
        <v/>
      </c>
      <c r="AB12" s="99" t="str">
        <f t="shared" si="9"/>
        <v/>
      </c>
      <c r="AC12" s="99" t="str">
        <f t="shared" si="10"/>
        <v/>
      </c>
      <c r="AD12" s="99" t="str">
        <f t="shared" si="11"/>
        <v/>
      </c>
      <c r="AF12" s="99">
        <f t="shared" si="16"/>
        <v>0</v>
      </c>
      <c r="AG12" s="99" t="str">
        <f t="shared" si="14"/>
        <v/>
      </c>
      <c r="AH12" s="198" t="str">
        <f t="shared" si="15"/>
        <v/>
      </c>
      <c r="AI12" s="99"/>
    </row>
    <row r="13" spans="1:35" ht="21.95" customHeight="1" x14ac:dyDescent="0.4">
      <c r="A13" s="76">
        <v>7</v>
      </c>
      <c r="B13" s="143"/>
      <c r="C13" s="144"/>
      <c r="D13" s="143"/>
      <c r="E13" s="144"/>
      <c r="F13" s="145"/>
      <c r="G13" s="146"/>
      <c r="H13" s="147"/>
      <c r="I13" s="148"/>
      <c r="J13" s="37" t="str">
        <f>IF(L13&lt;&gt;"",COUNTIF(エントリー!$D$6:$D$85,A13),"")</f>
        <v/>
      </c>
      <c r="K13" s="37"/>
      <c r="L13" s="159" t="str">
        <f t="shared" si="0"/>
        <v/>
      </c>
      <c r="M13" s="140" t="str">
        <f t="shared" si="1"/>
        <v/>
      </c>
      <c r="N13" s="140" t="str">
        <f t="shared" si="2"/>
        <v/>
      </c>
      <c r="O13" s="140">
        <f t="shared" si="3"/>
        <v>7</v>
      </c>
      <c r="P13" s="140" t="str">
        <f>IFERROR(VLOOKUP(H13,リスト!$E$10:$G$50,2,FALSE),"")</f>
        <v/>
      </c>
      <c r="Q13" s="140" t="str">
        <f>IFERROR(VLOOKUP(H13,リスト!$E$10:$G$50,3,FALSE),"")</f>
        <v/>
      </c>
      <c r="R13" s="140" t="str">
        <f>IFERROR(VLOOKUP(F13,リスト!$B$2:$C$7,2,FALSE),"")</f>
        <v/>
      </c>
      <c r="S13" s="160" t="str">
        <f>IFERROR(VLOOKUP(G13,リスト!$K$2:$L$3,2,FALSE),"")</f>
        <v/>
      </c>
      <c r="U13" s="99">
        <f t="shared" si="4"/>
        <v>7</v>
      </c>
      <c r="V13" s="99" t="str">
        <f t="shared" si="5"/>
        <v/>
      </c>
      <c r="W13" s="99" t="str">
        <f t="shared" si="6"/>
        <v/>
      </c>
      <c r="X13" s="99" t="str">
        <f t="shared" si="7"/>
        <v/>
      </c>
      <c r="Y13" s="99" t="str">
        <f t="shared" si="8"/>
        <v/>
      </c>
      <c r="Z13" s="99" t="str">
        <f t="shared" si="12"/>
        <v/>
      </c>
      <c r="AA13" s="99" t="str">
        <f t="shared" si="13"/>
        <v/>
      </c>
      <c r="AB13" s="99" t="str">
        <f t="shared" si="9"/>
        <v/>
      </c>
      <c r="AC13" s="99" t="str">
        <f t="shared" si="10"/>
        <v/>
      </c>
      <c r="AD13" s="99" t="str">
        <f t="shared" si="11"/>
        <v/>
      </c>
      <c r="AF13" s="99">
        <f t="shared" si="16"/>
        <v>0</v>
      </c>
      <c r="AG13" s="99" t="str">
        <f t="shared" si="14"/>
        <v/>
      </c>
      <c r="AH13" s="198" t="str">
        <f t="shared" si="15"/>
        <v/>
      </c>
      <c r="AI13" s="99"/>
    </row>
    <row r="14" spans="1:35" ht="21.95" customHeight="1" x14ac:dyDescent="0.4">
      <c r="A14" s="76">
        <v>8</v>
      </c>
      <c r="B14" s="143"/>
      <c r="C14" s="144"/>
      <c r="D14" s="143"/>
      <c r="E14" s="144"/>
      <c r="F14" s="145"/>
      <c r="G14" s="146"/>
      <c r="H14" s="147"/>
      <c r="I14" s="148"/>
      <c r="J14" s="37" t="str">
        <f>IF(L14&lt;&gt;"",COUNTIF(エントリー!$D$6:$D$85,A14),"")</f>
        <v/>
      </c>
      <c r="K14" s="37"/>
      <c r="L14" s="159" t="str">
        <f t="shared" si="0"/>
        <v/>
      </c>
      <c r="M14" s="140" t="str">
        <f t="shared" si="1"/>
        <v/>
      </c>
      <c r="N14" s="140" t="str">
        <f t="shared" si="2"/>
        <v/>
      </c>
      <c r="O14" s="140">
        <f t="shared" si="3"/>
        <v>8</v>
      </c>
      <c r="P14" s="140" t="str">
        <f>IFERROR(VLOOKUP(H14,リスト!$E$10:$G$50,2,FALSE),"")</f>
        <v/>
      </c>
      <c r="Q14" s="140" t="str">
        <f>IFERROR(VLOOKUP(H14,リスト!$E$10:$G$50,3,FALSE),"")</f>
        <v/>
      </c>
      <c r="R14" s="140" t="str">
        <f>IFERROR(VLOOKUP(F14,リスト!$B$2:$C$7,2,FALSE),"")</f>
        <v/>
      </c>
      <c r="S14" s="160" t="str">
        <f>IFERROR(VLOOKUP(G14,リスト!$K$2:$L$3,2,FALSE),"")</f>
        <v/>
      </c>
      <c r="U14" s="99">
        <f t="shared" si="4"/>
        <v>8</v>
      </c>
      <c r="V14" s="99" t="str">
        <f t="shared" si="5"/>
        <v/>
      </c>
      <c r="W14" s="99" t="str">
        <f t="shared" si="6"/>
        <v/>
      </c>
      <c r="X14" s="99" t="str">
        <f t="shared" si="7"/>
        <v/>
      </c>
      <c r="Y14" s="99" t="str">
        <f t="shared" si="8"/>
        <v/>
      </c>
      <c r="Z14" s="99" t="str">
        <f t="shared" si="12"/>
        <v/>
      </c>
      <c r="AA14" s="99" t="str">
        <f t="shared" si="13"/>
        <v/>
      </c>
      <c r="AB14" s="99" t="str">
        <f t="shared" si="9"/>
        <v/>
      </c>
      <c r="AC14" s="99" t="str">
        <f t="shared" si="10"/>
        <v/>
      </c>
      <c r="AD14" s="99" t="str">
        <f t="shared" si="11"/>
        <v/>
      </c>
      <c r="AF14" s="99">
        <f t="shared" si="16"/>
        <v>0</v>
      </c>
      <c r="AG14" s="99" t="str">
        <f t="shared" si="14"/>
        <v/>
      </c>
      <c r="AH14" s="198" t="str">
        <f t="shared" si="15"/>
        <v/>
      </c>
      <c r="AI14" s="99"/>
    </row>
    <row r="15" spans="1:35" ht="21.95" customHeight="1" x14ac:dyDescent="0.4">
      <c r="A15" s="76">
        <v>9</v>
      </c>
      <c r="B15" s="143"/>
      <c r="C15" s="144"/>
      <c r="D15" s="143"/>
      <c r="E15" s="144"/>
      <c r="F15" s="145"/>
      <c r="G15" s="146"/>
      <c r="H15" s="147"/>
      <c r="I15" s="148"/>
      <c r="J15" s="37" t="str">
        <f>IF(L15&lt;&gt;"",COUNTIF(エントリー!$D$6:$D$85,A15),"")</f>
        <v/>
      </c>
      <c r="K15" s="37"/>
      <c r="L15" s="159" t="str">
        <f t="shared" si="0"/>
        <v/>
      </c>
      <c r="M15" s="140" t="str">
        <f t="shared" si="1"/>
        <v/>
      </c>
      <c r="N15" s="140" t="str">
        <f t="shared" si="2"/>
        <v/>
      </c>
      <c r="O15" s="140">
        <f t="shared" si="3"/>
        <v>9</v>
      </c>
      <c r="P15" s="140" t="str">
        <f>IFERROR(VLOOKUP(H15,リスト!$E$10:$G$50,2,FALSE),"")</f>
        <v/>
      </c>
      <c r="Q15" s="140" t="str">
        <f>IFERROR(VLOOKUP(H15,リスト!$E$10:$G$50,3,FALSE),"")</f>
        <v/>
      </c>
      <c r="R15" s="140" t="str">
        <f>IFERROR(VLOOKUP(F15,リスト!$B$2:$C$7,2,FALSE),"")</f>
        <v/>
      </c>
      <c r="S15" s="160" t="str">
        <f>IFERROR(VLOOKUP(G15,リスト!$K$2:$L$3,2,FALSE),"")</f>
        <v/>
      </c>
      <c r="U15" s="99">
        <f t="shared" si="4"/>
        <v>9</v>
      </c>
      <c r="V15" s="99" t="str">
        <f t="shared" si="5"/>
        <v/>
      </c>
      <c r="W15" s="99" t="str">
        <f t="shared" si="6"/>
        <v/>
      </c>
      <c r="X15" s="99" t="str">
        <f t="shared" si="7"/>
        <v/>
      </c>
      <c r="Y15" s="99" t="str">
        <f t="shared" si="8"/>
        <v/>
      </c>
      <c r="Z15" s="99" t="str">
        <f t="shared" si="12"/>
        <v/>
      </c>
      <c r="AA15" s="99" t="str">
        <f t="shared" si="13"/>
        <v/>
      </c>
      <c r="AB15" s="99" t="str">
        <f t="shared" si="9"/>
        <v/>
      </c>
      <c r="AC15" s="99" t="str">
        <f t="shared" si="10"/>
        <v/>
      </c>
      <c r="AD15" s="99" t="str">
        <f t="shared" si="11"/>
        <v/>
      </c>
      <c r="AF15" s="99">
        <f t="shared" si="16"/>
        <v>0</v>
      </c>
      <c r="AG15" s="99" t="str">
        <f t="shared" si="14"/>
        <v/>
      </c>
      <c r="AH15" s="198" t="str">
        <f t="shared" si="15"/>
        <v/>
      </c>
      <c r="AI15" s="99"/>
    </row>
    <row r="16" spans="1:35" ht="21.95" customHeight="1" x14ac:dyDescent="0.4">
      <c r="A16" s="76">
        <v>10</v>
      </c>
      <c r="B16" s="143"/>
      <c r="C16" s="144"/>
      <c r="D16" s="143"/>
      <c r="E16" s="144"/>
      <c r="F16" s="145"/>
      <c r="G16" s="146"/>
      <c r="H16" s="147"/>
      <c r="I16" s="148"/>
      <c r="J16" s="37" t="str">
        <f>IF(L16&lt;&gt;"",COUNTIF(エントリー!$D$6:$D$85,A16),"")</f>
        <v/>
      </c>
      <c r="K16" s="37"/>
      <c r="L16" s="159" t="str">
        <f t="shared" si="0"/>
        <v/>
      </c>
      <c r="M16" s="140" t="str">
        <f t="shared" si="1"/>
        <v/>
      </c>
      <c r="N16" s="140" t="str">
        <f t="shared" si="2"/>
        <v/>
      </c>
      <c r="O16" s="140">
        <f t="shared" si="3"/>
        <v>10</v>
      </c>
      <c r="P16" s="140" t="str">
        <f>IFERROR(VLOOKUP(H16,リスト!$E$10:$G$50,2,FALSE),"")</f>
        <v/>
      </c>
      <c r="Q16" s="140" t="str">
        <f>IFERROR(VLOOKUP(H16,リスト!$E$10:$G$50,3,FALSE),"")</f>
        <v/>
      </c>
      <c r="R16" s="140" t="str">
        <f>IFERROR(VLOOKUP(F16,リスト!$B$2:$C$7,2,FALSE),"")</f>
        <v/>
      </c>
      <c r="S16" s="160" t="str">
        <f>IFERROR(VLOOKUP(G16,リスト!$K$2:$L$3,2,FALSE),"")</f>
        <v/>
      </c>
      <c r="U16" s="99">
        <f t="shared" si="4"/>
        <v>10</v>
      </c>
      <c r="V16" s="99" t="str">
        <f t="shared" si="5"/>
        <v/>
      </c>
      <c r="W16" s="99" t="str">
        <f t="shared" si="6"/>
        <v/>
      </c>
      <c r="X16" s="99" t="str">
        <f t="shared" si="7"/>
        <v/>
      </c>
      <c r="Y16" s="99" t="str">
        <f t="shared" si="8"/>
        <v/>
      </c>
      <c r="Z16" s="99" t="str">
        <f t="shared" si="12"/>
        <v/>
      </c>
      <c r="AA16" s="99" t="str">
        <f t="shared" si="13"/>
        <v/>
      </c>
      <c r="AB16" s="99" t="str">
        <f t="shared" si="9"/>
        <v/>
      </c>
      <c r="AC16" s="99" t="str">
        <f t="shared" si="10"/>
        <v/>
      </c>
      <c r="AD16" s="99" t="str">
        <f t="shared" si="11"/>
        <v/>
      </c>
      <c r="AF16" s="99">
        <f t="shared" si="16"/>
        <v>0</v>
      </c>
      <c r="AG16" s="99" t="str">
        <f t="shared" si="14"/>
        <v/>
      </c>
      <c r="AH16" s="198" t="str">
        <f t="shared" si="15"/>
        <v/>
      </c>
      <c r="AI16" s="99"/>
    </row>
    <row r="17" spans="1:35" ht="21.95" customHeight="1" x14ac:dyDescent="0.4">
      <c r="A17" s="76">
        <v>11</v>
      </c>
      <c r="B17" s="143"/>
      <c r="C17" s="144"/>
      <c r="D17" s="143"/>
      <c r="E17" s="144"/>
      <c r="F17" s="145"/>
      <c r="G17" s="146"/>
      <c r="H17" s="147"/>
      <c r="I17" s="148"/>
      <c r="J17" s="37" t="str">
        <f>IF(L17&lt;&gt;"",COUNTIF(エントリー!$D$6:$D$85,A17),"")</f>
        <v/>
      </c>
      <c r="K17" s="37"/>
      <c r="L17" s="159" t="str">
        <f t="shared" si="0"/>
        <v/>
      </c>
      <c r="M17" s="140" t="str">
        <f t="shared" si="1"/>
        <v/>
      </c>
      <c r="N17" s="140" t="str">
        <f t="shared" si="2"/>
        <v/>
      </c>
      <c r="O17" s="140">
        <f t="shared" si="3"/>
        <v>11</v>
      </c>
      <c r="P17" s="140" t="str">
        <f>IFERROR(VLOOKUP(H17,リスト!$E$10:$G$50,2,FALSE),"")</f>
        <v/>
      </c>
      <c r="Q17" s="140" t="str">
        <f>IFERROR(VLOOKUP(H17,リスト!$E$10:$G$50,3,FALSE),"")</f>
        <v/>
      </c>
      <c r="R17" s="140" t="str">
        <f>IFERROR(VLOOKUP(F17,リスト!$B$2:$C$7,2,FALSE),"")</f>
        <v/>
      </c>
      <c r="S17" s="160" t="str">
        <f>IFERROR(VLOOKUP(G17,リスト!$K$2:$L$3,2,FALSE),"")</f>
        <v/>
      </c>
      <c r="U17" s="99">
        <f t="shared" si="4"/>
        <v>11</v>
      </c>
      <c r="V17" s="99" t="str">
        <f t="shared" si="5"/>
        <v/>
      </c>
      <c r="W17" s="99" t="str">
        <f t="shared" si="6"/>
        <v/>
      </c>
      <c r="X17" s="99" t="str">
        <f t="shared" si="7"/>
        <v/>
      </c>
      <c r="Y17" s="99" t="str">
        <f t="shared" si="8"/>
        <v/>
      </c>
      <c r="Z17" s="99" t="str">
        <f t="shared" si="12"/>
        <v/>
      </c>
      <c r="AA17" s="99" t="str">
        <f t="shared" si="13"/>
        <v/>
      </c>
      <c r="AB17" s="99" t="str">
        <f t="shared" si="9"/>
        <v/>
      </c>
      <c r="AC17" s="99" t="str">
        <f t="shared" si="10"/>
        <v/>
      </c>
      <c r="AD17" s="99" t="str">
        <f t="shared" si="11"/>
        <v/>
      </c>
      <c r="AF17" s="99">
        <f t="shared" si="16"/>
        <v>0</v>
      </c>
      <c r="AG17" s="99" t="str">
        <f t="shared" si="14"/>
        <v/>
      </c>
      <c r="AH17" s="198" t="str">
        <f t="shared" si="15"/>
        <v/>
      </c>
      <c r="AI17" s="99"/>
    </row>
    <row r="18" spans="1:35" ht="21.95" customHeight="1" x14ac:dyDescent="0.4">
      <c r="A18" s="76">
        <v>12</v>
      </c>
      <c r="B18" s="143"/>
      <c r="C18" s="144"/>
      <c r="D18" s="143"/>
      <c r="E18" s="144"/>
      <c r="F18" s="145"/>
      <c r="G18" s="146"/>
      <c r="H18" s="147"/>
      <c r="I18" s="148"/>
      <c r="J18" s="37" t="str">
        <f>IF(L18&lt;&gt;"",COUNTIF(エントリー!$D$6:$D$85,A18),"")</f>
        <v/>
      </c>
      <c r="K18" s="37"/>
      <c r="L18" s="159" t="str">
        <f t="shared" si="0"/>
        <v/>
      </c>
      <c r="M18" s="140" t="str">
        <f t="shared" si="1"/>
        <v/>
      </c>
      <c r="N18" s="140" t="str">
        <f t="shared" si="2"/>
        <v/>
      </c>
      <c r="O18" s="140">
        <f t="shared" si="3"/>
        <v>12</v>
      </c>
      <c r="P18" s="140" t="str">
        <f>IFERROR(VLOOKUP(H18,リスト!$E$10:$G$50,2,FALSE),"")</f>
        <v/>
      </c>
      <c r="Q18" s="140" t="str">
        <f>IFERROR(VLOOKUP(H18,リスト!$E$10:$G$50,3,FALSE),"")</f>
        <v/>
      </c>
      <c r="R18" s="140" t="str">
        <f>IFERROR(VLOOKUP(F18,リスト!$B$2:$C$7,2,FALSE),"")</f>
        <v/>
      </c>
      <c r="S18" s="160" t="str">
        <f>IFERROR(VLOOKUP(G18,リスト!$K$2:$L$3,2,FALSE),"")</f>
        <v/>
      </c>
      <c r="U18" s="99">
        <f t="shared" si="4"/>
        <v>12</v>
      </c>
      <c r="V18" s="99" t="str">
        <f t="shared" si="5"/>
        <v/>
      </c>
      <c r="W18" s="99" t="str">
        <f t="shared" si="6"/>
        <v/>
      </c>
      <c r="X18" s="99" t="str">
        <f t="shared" si="7"/>
        <v/>
      </c>
      <c r="Y18" s="99" t="str">
        <f t="shared" si="8"/>
        <v/>
      </c>
      <c r="Z18" s="99" t="str">
        <f t="shared" si="12"/>
        <v/>
      </c>
      <c r="AA18" s="99" t="str">
        <f t="shared" si="13"/>
        <v/>
      </c>
      <c r="AB18" s="99" t="str">
        <f t="shared" si="9"/>
        <v/>
      </c>
      <c r="AC18" s="99" t="str">
        <f t="shared" si="10"/>
        <v/>
      </c>
      <c r="AD18" s="99" t="str">
        <f t="shared" si="11"/>
        <v/>
      </c>
      <c r="AF18" s="99">
        <f t="shared" si="16"/>
        <v>0</v>
      </c>
      <c r="AG18" s="99" t="str">
        <f t="shared" si="14"/>
        <v/>
      </c>
      <c r="AH18" s="198" t="str">
        <f t="shared" si="15"/>
        <v/>
      </c>
      <c r="AI18" s="99"/>
    </row>
    <row r="19" spans="1:35" ht="21.95" customHeight="1" x14ac:dyDescent="0.4">
      <c r="A19" s="76">
        <v>13</v>
      </c>
      <c r="B19" s="143"/>
      <c r="C19" s="144"/>
      <c r="D19" s="143"/>
      <c r="E19" s="144"/>
      <c r="F19" s="145"/>
      <c r="G19" s="146"/>
      <c r="H19" s="147"/>
      <c r="I19" s="148"/>
      <c r="J19" s="37" t="str">
        <f>IF(L19&lt;&gt;"",COUNTIF(エントリー!$D$6:$D$85,A19),"")</f>
        <v/>
      </c>
      <c r="K19" s="37"/>
      <c r="L19" s="159" t="str">
        <f t="shared" si="0"/>
        <v/>
      </c>
      <c r="M19" s="140" t="str">
        <f t="shared" si="1"/>
        <v/>
      </c>
      <c r="N19" s="140" t="str">
        <f t="shared" si="2"/>
        <v/>
      </c>
      <c r="O19" s="140">
        <f t="shared" si="3"/>
        <v>13</v>
      </c>
      <c r="P19" s="140" t="str">
        <f>IFERROR(VLOOKUP(H19,リスト!$E$10:$G$50,2,FALSE),"")</f>
        <v/>
      </c>
      <c r="Q19" s="140" t="str">
        <f>IFERROR(VLOOKUP(H19,リスト!$E$10:$G$50,3,FALSE),"")</f>
        <v/>
      </c>
      <c r="R19" s="140" t="str">
        <f>IFERROR(VLOOKUP(F19,リスト!$B$2:$C$7,2,FALSE),"")</f>
        <v/>
      </c>
      <c r="S19" s="160" t="str">
        <f>IFERROR(VLOOKUP(G19,リスト!$K$2:$L$3,2,FALSE),"")</f>
        <v/>
      </c>
      <c r="U19" s="99">
        <f t="shared" si="4"/>
        <v>13</v>
      </c>
      <c r="V19" s="99" t="str">
        <f t="shared" si="5"/>
        <v/>
      </c>
      <c r="W19" s="99" t="str">
        <f t="shared" si="6"/>
        <v/>
      </c>
      <c r="X19" s="99" t="str">
        <f t="shared" si="7"/>
        <v/>
      </c>
      <c r="Y19" s="99" t="str">
        <f t="shared" si="8"/>
        <v/>
      </c>
      <c r="Z19" s="99" t="str">
        <f t="shared" si="12"/>
        <v/>
      </c>
      <c r="AA19" s="99" t="str">
        <f t="shared" si="13"/>
        <v/>
      </c>
      <c r="AB19" s="99" t="str">
        <f t="shared" si="9"/>
        <v/>
      </c>
      <c r="AC19" s="99" t="str">
        <f t="shared" si="10"/>
        <v/>
      </c>
      <c r="AD19" s="99" t="str">
        <f t="shared" si="11"/>
        <v/>
      </c>
      <c r="AF19" s="99">
        <f t="shared" si="16"/>
        <v>0</v>
      </c>
      <c r="AG19" s="99" t="str">
        <f t="shared" si="14"/>
        <v/>
      </c>
      <c r="AH19" s="198" t="str">
        <f t="shared" si="15"/>
        <v/>
      </c>
      <c r="AI19" s="99"/>
    </row>
    <row r="20" spans="1:35" ht="21.95" customHeight="1" x14ac:dyDescent="0.4">
      <c r="A20" s="76">
        <v>14</v>
      </c>
      <c r="B20" s="143"/>
      <c r="C20" s="144"/>
      <c r="D20" s="143"/>
      <c r="E20" s="144"/>
      <c r="F20" s="145"/>
      <c r="G20" s="146"/>
      <c r="H20" s="147"/>
      <c r="I20" s="148"/>
      <c r="J20" s="37" t="str">
        <f>IF(L20&lt;&gt;"",COUNTIF(エントリー!$D$6:$D$85,A20),"")</f>
        <v/>
      </c>
      <c r="K20" s="37"/>
      <c r="L20" s="159" t="str">
        <f t="shared" si="0"/>
        <v/>
      </c>
      <c r="M20" s="140" t="str">
        <f t="shared" si="1"/>
        <v/>
      </c>
      <c r="N20" s="140" t="str">
        <f t="shared" si="2"/>
        <v/>
      </c>
      <c r="O20" s="140">
        <f t="shared" si="3"/>
        <v>14</v>
      </c>
      <c r="P20" s="140" t="str">
        <f>IFERROR(VLOOKUP(H20,リスト!$E$10:$G$50,2,FALSE),"")</f>
        <v/>
      </c>
      <c r="Q20" s="140" t="str">
        <f>IFERROR(VLOOKUP(H20,リスト!$E$10:$G$50,3,FALSE),"")</f>
        <v/>
      </c>
      <c r="R20" s="140" t="str">
        <f>IFERROR(VLOOKUP(F20,リスト!$B$2:$C$7,2,FALSE),"")</f>
        <v/>
      </c>
      <c r="S20" s="160" t="str">
        <f>IFERROR(VLOOKUP(G20,リスト!$K$2:$L$3,2,FALSE),"")</f>
        <v/>
      </c>
      <c r="U20" s="99">
        <f t="shared" si="4"/>
        <v>14</v>
      </c>
      <c r="V20" s="99" t="str">
        <f t="shared" si="5"/>
        <v/>
      </c>
      <c r="W20" s="99" t="str">
        <f t="shared" si="6"/>
        <v/>
      </c>
      <c r="X20" s="99" t="str">
        <f t="shared" si="7"/>
        <v/>
      </c>
      <c r="Y20" s="99" t="str">
        <f t="shared" si="8"/>
        <v/>
      </c>
      <c r="Z20" s="99" t="str">
        <f t="shared" si="12"/>
        <v/>
      </c>
      <c r="AA20" s="99" t="str">
        <f t="shared" si="13"/>
        <v/>
      </c>
      <c r="AB20" s="99" t="str">
        <f t="shared" si="9"/>
        <v/>
      </c>
      <c r="AC20" s="99" t="str">
        <f t="shared" si="10"/>
        <v/>
      </c>
      <c r="AD20" s="99" t="str">
        <f t="shared" si="11"/>
        <v/>
      </c>
      <c r="AF20" s="99">
        <f t="shared" si="16"/>
        <v>0</v>
      </c>
      <c r="AG20" s="99" t="str">
        <f t="shared" si="14"/>
        <v/>
      </c>
      <c r="AH20" s="198" t="str">
        <f t="shared" si="15"/>
        <v/>
      </c>
      <c r="AI20" s="99"/>
    </row>
    <row r="21" spans="1:35" ht="21.95" customHeight="1" x14ac:dyDescent="0.4">
      <c r="A21" s="76">
        <v>15</v>
      </c>
      <c r="B21" s="143"/>
      <c r="C21" s="144"/>
      <c r="D21" s="143"/>
      <c r="E21" s="144"/>
      <c r="F21" s="145"/>
      <c r="G21" s="146"/>
      <c r="H21" s="147"/>
      <c r="I21" s="148"/>
      <c r="J21" s="37" t="str">
        <f>IF(L21&lt;&gt;"",COUNTIF(エントリー!$D$6:$D$85,A21),"")</f>
        <v/>
      </c>
      <c r="K21" s="37"/>
      <c r="L21" s="159" t="str">
        <f t="shared" si="0"/>
        <v/>
      </c>
      <c r="M21" s="140" t="str">
        <f t="shared" si="1"/>
        <v/>
      </c>
      <c r="N21" s="140" t="str">
        <f t="shared" si="2"/>
        <v/>
      </c>
      <c r="O21" s="140">
        <f t="shared" si="3"/>
        <v>15</v>
      </c>
      <c r="P21" s="140" t="str">
        <f>IFERROR(VLOOKUP(H21,リスト!$E$10:$G$50,2,FALSE),"")</f>
        <v/>
      </c>
      <c r="Q21" s="140" t="str">
        <f>IFERROR(VLOOKUP(H21,リスト!$E$10:$G$50,3,FALSE),"")</f>
        <v/>
      </c>
      <c r="R21" s="140" t="str">
        <f>IFERROR(VLOOKUP(F21,リスト!$B$2:$C$7,2,FALSE),"")</f>
        <v/>
      </c>
      <c r="S21" s="160" t="str">
        <f>IFERROR(VLOOKUP(G21,リスト!$K$2:$L$3,2,FALSE),"")</f>
        <v/>
      </c>
      <c r="U21" s="99">
        <f t="shared" si="4"/>
        <v>15</v>
      </c>
      <c r="V21" s="99" t="str">
        <f t="shared" si="5"/>
        <v/>
      </c>
      <c r="W21" s="99" t="str">
        <f t="shared" si="6"/>
        <v/>
      </c>
      <c r="X21" s="99" t="str">
        <f t="shared" si="7"/>
        <v/>
      </c>
      <c r="Y21" s="99" t="str">
        <f t="shared" si="8"/>
        <v/>
      </c>
      <c r="Z21" s="99" t="str">
        <f t="shared" si="12"/>
        <v/>
      </c>
      <c r="AA21" s="99" t="str">
        <f t="shared" si="13"/>
        <v/>
      </c>
      <c r="AB21" s="99" t="str">
        <f t="shared" si="9"/>
        <v/>
      </c>
      <c r="AC21" s="99" t="str">
        <f t="shared" si="10"/>
        <v/>
      </c>
      <c r="AD21" s="99" t="str">
        <f t="shared" si="11"/>
        <v/>
      </c>
      <c r="AF21" s="99">
        <f t="shared" si="16"/>
        <v>0</v>
      </c>
      <c r="AG21" s="99" t="str">
        <f t="shared" si="14"/>
        <v/>
      </c>
      <c r="AH21" s="198" t="str">
        <f t="shared" si="15"/>
        <v/>
      </c>
      <c r="AI21" s="99"/>
    </row>
    <row r="22" spans="1:35" ht="21.95" customHeight="1" x14ac:dyDescent="0.4">
      <c r="A22" s="76">
        <v>16</v>
      </c>
      <c r="B22" s="143"/>
      <c r="C22" s="144"/>
      <c r="D22" s="143"/>
      <c r="E22" s="144"/>
      <c r="F22" s="145"/>
      <c r="G22" s="146"/>
      <c r="H22" s="147"/>
      <c r="I22" s="148"/>
      <c r="J22" s="37" t="str">
        <f>IF(L22&lt;&gt;"",COUNTIF(エントリー!$D$6:$D$85,A22),"")</f>
        <v/>
      </c>
      <c r="K22" s="37"/>
      <c r="L22" s="159" t="str">
        <f t="shared" si="0"/>
        <v/>
      </c>
      <c r="M22" s="140" t="str">
        <f t="shared" si="1"/>
        <v/>
      </c>
      <c r="N22" s="140" t="str">
        <f t="shared" si="2"/>
        <v/>
      </c>
      <c r="O22" s="140">
        <f t="shared" si="3"/>
        <v>16</v>
      </c>
      <c r="P22" s="140" t="str">
        <f>IFERROR(VLOOKUP(H22,リスト!$E$10:$G$50,2,FALSE),"")</f>
        <v/>
      </c>
      <c r="Q22" s="140" t="str">
        <f>IFERROR(VLOOKUP(H22,リスト!$E$10:$G$50,3,FALSE),"")</f>
        <v/>
      </c>
      <c r="R22" s="140" t="str">
        <f>IFERROR(VLOOKUP(F22,リスト!$B$2:$C$7,2,FALSE),"")</f>
        <v/>
      </c>
      <c r="S22" s="160" t="str">
        <f>IFERROR(VLOOKUP(G22,リスト!$K$2:$L$3,2,FALSE),"")</f>
        <v/>
      </c>
      <c r="U22" s="99">
        <f t="shared" si="4"/>
        <v>16</v>
      </c>
      <c r="V22" s="99" t="str">
        <f t="shared" si="5"/>
        <v/>
      </c>
      <c r="W22" s="99" t="str">
        <f t="shared" si="6"/>
        <v/>
      </c>
      <c r="X22" s="99" t="str">
        <f t="shared" si="7"/>
        <v/>
      </c>
      <c r="Y22" s="99" t="str">
        <f t="shared" si="8"/>
        <v/>
      </c>
      <c r="Z22" s="99" t="str">
        <f t="shared" si="12"/>
        <v/>
      </c>
      <c r="AA22" s="99" t="str">
        <f t="shared" si="13"/>
        <v/>
      </c>
      <c r="AB22" s="99" t="str">
        <f t="shared" si="9"/>
        <v/>
      </c>
      <c r="AC22" s="99" t="str">
        <f t="shared" si="10"/>
        <v/>
      </c>
      <c r="AD22" s="99" t="str">
        <f t="shared" si="11"/>
        <v/>
      </c>
      <c r="AF22" s="99">
        <f t="shared" si="16"/>
        <v>0</v>
      </c>
      <c r="AG22" s="99" t="str">
        <f t="shared" si="14"/>
        <v/>
      </c>
      <c r="AH22" s="198" t="str">
        <f t="shared" si="15"/>
        <v/>
      </c>
      <c r="AI22" s="99"/>
    </row>
    <row r="23" spans="1:35" ht="21.95" customHeight="1" x14ac:dyDescent="0.4">
      <c r="A23" s="76">
        <v>17</v>
      </c>
      <c r="B23" s="143"/>
      <c r="C23" s="144"/>
      <c r="D23" s="143"/>
      <c r="E23" s="144"/>
      <c r="F23" s="145"/>
      <c r="G23" s="146"/>
      <c r="H23" s="147"/>
      <c r="I23" s="148"/>
      <c r="J23" s="37" t="str">
        <f>IF(L23&lt;&gt;"",COUNTIF(エントリー!$D$6:$D$85,A23),"")</f>
        <v/>
      </c>
      <c r="K23" s="37"/>
      <c r="L23" s="159" t="str">
        <f t="shared" si="0"/>
        <v/>
      </c>
      <c r="M23" s="140" t="str">
        <f t="shared" si="1"/>
        <v/>
      </c>
      <c r="N23" s="140" t="str">
        <f t="shared" si="2"/>
        <v/>
      </c>
      <c r="O23" s="140">
        <f t="shared" si="3"/>
        <v>17</v>
      </c>
      <c r="P23" s="140" t="str">
        <f>IFERROR(VLOOKUP(H23,リスト!$E$10:$G$50,2,FALSE),"")</f>
        <v/>
      </c>
      <c r="Q23" s="140" t="str">
        <f>IFERROR(VLOOKUP(H23,リスト!$E$10:$G$50,3,FALSE),"")</f>
        <v/>
      </c>
      <c r="R23" s="140" t="str">
        <f>IFERROR(VLOOKUP(F23,リスト!$B$2:$C$7,2,FALSE),"")</f>
        <v/>
      </c>
      <c r="S23" s="160" t="str">
        <f>IFERROR(VLOOKUP(G23,リスト!$K$2:$L$3,2,FALSE),"")</f>
        <v/>
      </c>
      <c r="U23" s="99">
        <f t="shared" si="4"/>
        <v>17</v>
      </c>
      <c r="V23" s="99" t="str">
        <f t="shared" si="5"/>
        <v/>
      </c>
      <c r="W23" s="99" t="str">
        <f t="shared" si="6"/>
        <v/>
      </c>
      <c r="X23" s="99" t="str">
        <f t="shared" si="7"/>
        <v/>
      </c>
      <c r="Y23" s="99" t="str">
        <f t="shared" si="8"/>
        <v/>
      </c>
      <c r="Z23" s="99" t="str">
        <f t="shared" si="12"/>
        <v/>
      </c>
      <c r="AA23" s="99" t="str">
        <f t="shared" si="13"/>
        <v/>
      </c>
      <c r="AB23" s="99" t="str">
        <f t="shared" si="9"/>
        <v/>
      </c>
      <c r="AC23" s="99" t="str">
        <f t="shared" si="10"/>
        <v/>
      </c>
      <c r="AD23" s="99" t="str">
        <f t="shared" si="11"/>
        <v/>
      </c>
      <c r="AF23" s="99">
        <f t="shared" si="16"/>
        <v>0</v>
      </c>
      <c r="AG23" s="99" t="str">
        <f t="shared" si="14"/>
        <v/>
      </c>
      <c r="AH23" s="198" t="str">
        <f t="shared" si="15"/>
        <v/>
      </c>
      <c r="AI23" s="99"/>
    </row>
    <row r="24" spans="1:35" ht="21.95" customHeight="1" x14ac:dyDescent="0.4">
      <c r="A24" s="76">
        <v>18</v>
      </c>
      <c r="B24" s="143"/>
      <c r="C24" s="144"/>
      <c r="D24" s="143"/>
      <c r="E24" s="144"/>
      <c r="F24" s="145"/>
      <c r="G24" s="146"/>
      <c r="H24" s="147"/>
      <c r="I24" s="148"/>
      <c r="J24" s="37" t="str">
        <f>IF(L24&lt;&gt;"",COUNTIF(エントリー!$D$6:$D$85,A24),"")</f>
        <v/>
      </c>
      <c r="K24" s="37"/>
      <c r="L24" s="159" t="str">
        <f t="shared" si="0"/>
        <v/>
      </c>
      <c r="M24" s="140" t="str">
        <f t="shared" si="1"/>
        <v/>
      </c>
      <c r="N24" s="140" t="str">
        <f t="shared" si="2"/>
        <v/>
      </c>
      <c r="O24" s="140">
        <f t="shared" si="3"/>
        <v>18</v>
      </c>
      <c r="P24" s="140" t="str">
        <f>IFERROR(VLOOKUP(H24,リスト!$E$10:$G$50,2,FALSE),"")</f>
        <v/>
      </c>
      <c r="Q24" s="140" t="str">
        <f>IFERROR(VLOOKUP(H24,リスト!$E$10:$G$50,3,FALSE),"")</f>
        <v/>
      </c>
      <c r="R24" s="140" t="str">
        <f>IFERROR(VLOOKUP(F24,リスト!$B$2:$C$7,2,FALSE),"")</f>
        <v/>
      </c>
      <c r="S24" s="160" t="str">
        <f>IFERROR(VLOOKUP(G24,リスト!$K$2:$L$3,2,FALSE),"")</f>
        <v/>
      </c>
      <c r="U24" s="99">
        <f t="shared" si="4"/>
        <v>18</v>
      </c>
      <c r="V24" s="99" t="str">
        <f t="shared" si="5"/>
        <v/>
      </c>
      <c r="W24" s="99" t="str">
        <f t="shared" si="6"/>
        <v/>
      </c>
      <c r="X24" s="99" t="str">
        <f t="shared" si="7"/>
        <v/>
      </c>
      <c r="Y24" s="99" t="str">
        <f t="shared" si="8"/>
        <v/>
      </c>
      <c r="Z24" s="99" t="str">
        <f t="shared" si="12"/>
        <v/>
      </c>
      <c r="AA24" s="99" t="str">
        <f t="shared" si="13"/>
        <v/>
      </c>
      <c r="AB24" s="99" t="str">
        <f t="shared" si="9"/>
        <v/>
      </c>
      <c r="AC24" s="99" t="str">
        <f t="shared" si="10"/>
        <v/>
      </c>
      <c r="AD24" s="99" t="str">
        <f t="shared" si="11"/>
        <v/>
      </c>
      <c r="AF24" s="99">
        <f t="shared" si="16"/>
        <v>0</v>
      </c>
      <c r="AG24" s="99" t="str">
        <f t="shared" si="14"/>
        <v/>
      </c>
      <c r="AH24" s="198" t="str">
        <f t="shared" si="15"/>
        <v/>
      </c>
      <c r="AI24" s="99"/>
    </row>
    <row r="25" spans="1:35" ht="21.95" customHeight="1" x14ac:dyDescent="0.4">
      <c r="A25" s="76">
        <v>19</v>
      </c>
      <c r="B25" s="143"/>
      <c r="C25" s="144"/>
      <c r="D25" s="143"/>
      <c r="E25" s="144"/>
      <c r="F25" s="145"/>
      <c r="G25" s="146"/>
      <c r="H25" s="147"/>
      <c r="I25" s="148"/>
      <c r="J25" s="37" t="str">
        <f>IF(L25&lt;&gt;"",COUNTIF(エントリー!$D$6:$D$85,A25),"")</f>
        <v/>
      </c>
      <c r="K25" s="37"/>
      <c r="L25" s="159" t="str">
        <f t="shared" si="0"/>
        <v/>
      </c>
      <c r="M25" s="140" t="str">
        <f t="shared" si="1"/>
        <v/>
      </c>
      <c r="N25" s="140" t="str">
        <f t="shared" si="2"/>
        <v/>
      </c>
      <c r="O25" s="140">
        <f t="shared" si="3"/>
        <v>19</v>
      </c>
      <c r="P25" s="140" t="str">
        <f>IFERROR(VLOOKUP(H25,リスト!$E$10:$G$50,2,FALSE),"")</f>
        <v/>
      </c>
      <c r="Q25" s="140" t="str">
        <f>IFERROR(VLOOKUP(H25,リスト!$E$10:$G$50,3,FALSE),"")</f>
        <v/>
      </c>
      <c r="R25" s="140" t="str">
        <f>IFERROR(VLOOKUP(F25,リスト!$B$2:$C$7,2,FALSE),"")</f>
        <v/>
      </c>
      <c r="S25" s="160" t="str">
        <f>IFERROR(VLOOKUP(G25,リスト!$K$2:$L$3,2,FALSE),"")</f>
        <v/>
      </c>
      <c r="U25" s="99">
        <f t="shared" si="4"/>
        <v>19</v>
      </c>
      <c r="V25" s="99" t="str">
        <f t="shared" si="5"/>
        <v/>
      </c>
      <c r="W25" s="99" t="str">
        <f t="shared" si="6"/>
        <v/>
      </c>
      <c r="X25" s="99" t="str">
        <f t="shared" si="7"/>
        <v/>
      </c>
      <c r="Y25" s="99" t="str">
        <f t="shared" si="8"/>
        <v/>
      </c>
      <c r="Z25" s="99" t="str">
        <f t="shared" si="12"/>
        <v/>
      </c>
      <c r="AA25" s="99" t="str">
        <f t="shared" si="13"/>
        <v/>
      </c>
      <c r="AB25" s="99" t="str">
        <f t="shared" si="9"/>
        <v/>
      </c>
      <c r="AC25" s="99" t="str">
        <f t="shared" si="10"/>
        <v/>
      </c>
      <c r="AD25" s="99" t="str">
        <f t="shared" si="11"/>
        <v/>
      </c>
      <c r="AF25" s="99">
        <f t="shared" si="16"/>
        <v>0</v>
      </c>
      <c r="AG25" s="99" t="str">
        <f t="shared" si="14"/>
        <v/>
      </c>
      <c r="AH25" s="198" t="str">
        <f t="shared" si="15"/>
        <v/>
      </c>
      <c r="AI25" s="99"/>
    </row>
    <row r="26" spans="1:35" ht="21.95" customHeight="1" x14ac:dyDescent="0.4">
      <c r="A26" s="76">
        <v>20</v>
      </c>
      <c r="B26" s="143"/>
      <c r="C26" s="144"/>
      <c r="D26" s="143"/>
      <c r="E26" s="144"/>
      <c r="F26" s="145"/>
      <c r="G26" s="146"/>
      <c r="H26" s="147"/>
      <c r="I26" s="148"/>
      <c r="J26" s="37" t="str">
        <f>IF(L26&lt;&gt;"",COUNTIF(エントリー!$D$6:$D$85,A26),"")</f>
        <v/>
      </c>
      <c r="K26" s="37"/>
      <c r="L26" s="159" t="str">
        <f t="shared" si="0"/>
        <v/>
      </c>
      <c r="M26" s="140" t="str">
        <f t="shared" si="1"/>
        <v/>
      </c>
      <c r="N26" s="140" t="str">
        <f t="shared" si="2"/>
        <v/>
      </c>
      <c r="O26" s="140">
        <f t="shared" si="3"/>
        <v>20</v>
      </c>
      <c r="P26" s="140" t="str">
        <f>IFERROR(VLOOKUP(H26,リスト!$E$10:$G$50,2,FALSE),"")</f>
        <v/>
      </c>
      <c r="Q26" s="140" t="str">
        <f>IFERROR(VLOOKUP(H26,リスト!$E$10:$G$50,3,FALSE),"")</f>
        <v/>
      </c>
      <c r="R26" s="140" t="str">
        <f>IFERROR(VLOOKUP(F26,リスト!$B$2:$C$7,2,FALSE),"")</f>
        <v/>
      </c>
      <c r="S26" s="160" t="str">
        <f>IFERROR(VLOOKUP(G26,リスト!$K$2:$L$3,2,FALSE),"")</f>
        <v/>
      </c>
      <c r="U26" s="99">
        <f t="shared" si="4"/>
        <v>20</v>
      </c>
      <c r="V26" s="99" t="str">
        <f t="shared" si="5"/>
        <v/>
      </c>
      <c r="W26" s="99" t="str">
        <f t="shared" si="6"/>
        <v/>
      </c>
      <c r="X26" s="99" t="str">
        <f t="shared" si="7"/>
        <v/>
      </c>
      <c r="Y26" s="99" t="str">
        <f t="shared" si="8"/>
        <v/>
      </c>
      <c r="Z26" s="99" t="str">
        <f t="shared" si="12"/>
        <v/>
      </c>
      <c r="AA26" s="99" t="str">
        <f t="shared" si="13"/>
        <v/>
      </c>
      <c r="AB26" s="99" t="str">
        <f t="shared" si="9"/>
        <v/>
      </c>
      <c r="AC26" s="99" t="str">
        <f t="shared" si="10"/>
        <v/>
      </c>
      <c r="AD26" s="99" t="str">
        <f t="shared" si="11"/>
        <v/>
      </c>
      <c r="AF26" s="99">
        <f t="shared" si="16"/>
        <v>0</v>
      </c>
      <c r="AG26" s="99" t="str">
        <f t="shared" si="14"/>
        <v/>
      </c>
      <c r="AH26" s="198" t="str">
        <f t="shared" si="15"/>
        <v/>
      </c>
      <c r="AI26" s="99"/>
    </row>
    <row r="27" spans="1:35" ht="21.95" customHeight="1" x14ac:dyDescent="0.4">
      <c r="A27" s="76">
        <v>21</v>
      </c>
      <c r="B27" s="143"/>
      <c r="C27" s="144"/>
      <c r="D27" s="143"/>
      <c r="E27" s="144"/>
      <c r="F27" s="145"/>
      <c r="G27" s="146"/>
      <c r="H27" s="147"/>
      <c r="I27" s="148"/>
      <c r="J27" s="37" t="str">
        <f>IF(L27&lt;&gt;"",COUNTIF(エントリー!$D$6:$D$85,A27),"")</f>
        <v/>
      </c>
      <c r="K27" s="37"/>
      <c r="L27" s="159" t="str">
        <f t="shared" si="0"/>
        <v/>
      </c>
      <c r="M27" s="140" t="str">
        <f t="shared" si="1"/>
        <v/>
      </c>
      <c r="N27" s="140" t="str">
        <f t="shared" si="2"/>
        <v/>
      </c>
      <c r="O27" s="140">
        <f t="shared" si="3"/>
        <v>21</v>
      </c>
      <c r="P27" s="140" t="str">
        <f>IFERROR(VLOOKUP(H27,リスト!$E$10:$G$50,2,FALSE),"")</f>
        <v/>
      </c>
      <c r="Q27" s="140" t="str">
        <f>IFERROR(VLOOKUP(H27,リスト!$E$10:$G$50,3,FALSE),"")</f>
        <v/>
      </c>
      <c r="R27" s="140" t="str">
        <f>IFERROR(VLOOKUP(F27,リスト!$B$2:$C$7,2,FALSE),"")</f>
        <v/>
      </c>
      <c r="S27" s="160" t="str">
        <f>IFERROR(VLOOKUP(G27,リスト!$K$2:$L$3,2,FALSE),"")</f>
        <v/>
      </c>
      <c r="U27" s="99">
        <f t="shared" si="4"/>
        <v>21</v>
      </c>
      <c r="V27" s="99" t="str">
        <f t="shared" si="5"/>
        <v/>
      </c>
      <c r="W27" s="99" t="str">
        <f t="shared" si="6"/>
        <v/>
      </c>
      <c r="X27" s="99" t="str">
        <f t="shared" si="7"/>
        <v/>
      </c>
      <c r="Y27" s="99" t="str">
        <f t="shared" si="8"/>
        <v/>
      </c>
      <c r="Z27" s="99" t="str">
        <f t="shared" si="12"/>
        <v/>
      </c>
      <c r="AA27" s="99" t="str">
        <f t="shared" si="13"/>
        <v/>
      </c>
      <c r="AB27" s="99" t="str">
        <f t="shared" si="9"/>
        <v/>
      </c>
      <c r="AC27" s="99" t="str">
        <f t="shared" si="10"/>
        <v/>
      </c>
      <c r="AD27" s="99" t="str">
        <f t="shared" si="11"/>
        <v/>
      </c>
      <c r="AF27" s="99">
        <f t="shared" si="16"/>
        <v>0</v>
      </c>
      <c r="AG27" s="99" t="str">
        <f t="shared" si="14"/>
        <v/>
      </c>
      <c r="AH27" s="198" t="str">
        <f t="shared" si="15"/>
        <v/>
      </c>
      <c r="AI27" s="99"/>
    </row>
    <row r="28" spans="1:35" ht="21.95" customHeight="1" x14ac:dyDescent="0.4">
      <c r="A28" s="76">
        <v>22</v>
      </c>
      <c r="B28" s="143"/>
      <c r="C28" s="144"/>
      <c r="D28" s="143"/>
      <c r="E28" s="144"/>
      <c r="F28" s="145"/>
      <c r="G28" s="146"/>
      <c r="H28" s="147"/>
      <c r="I28" s="148"/>
      <c r="J28" s="37" t="str">
        <f>IF(L28&lt;&gt;"",COUNTIF(エントリー!$D$6:$D$85,A28),"")</f>
        <v/>
      </c>
      <c r="K28" s="37"/>
      <c r="L28" s="159" t="str">
        <f t="shared" si="0"/>
        <v/>
      </c>
      <c r="M28" s="140" t="str">
        <f t="shared" si="1"/>
        <v/>
      </c>
      <c r="N28" s="140" t="str">
        <f t="shared" si="2"/>
        <v/>
      </c>
      <c r="O28" s="140">
        <f t="shared" si="3"/>
        <v>22</v>
      </c>
      <c r="P28" s="140" t="str">
        <f>IFERROR(VLOOKUP(H28,リスト!$E$10:$G$50,2,FALSE),"")</f>
        <v/>
      </c>
      <c r="Q28" s="140" t="str">
        <f>IFERROR(VLOOKUP(H28,リスト!$E$10:$G$50,3,FALSE),"")</f>
        <v/>
      </c>
      <c r="R28" s="140" t="str">
        <f>IFERROR(VLOOKUP(F28,リスト!$B$2:$C$7,2,FALSE),"")</f>
        <v/>
      </c>
      <c r="S28" s="160" t="str">
        <f>IFERROR(VLOOKUP(G28,リスト!$K$2:$L$3,2,FALSE),"")</f>
        <v/>
      </c>
      <c r="U28" s="99">
        <f t="shared" si="4"/>
        <v>22</v>
      </c>
      <c r="V28" s="99" t="str">
        <f t="shared" si="5"/>
        <v/>
      </c>
      <c r="W28" s="99" t="str">
        <f t="shared" si="6"/>
        <v/>
      </c>
      <c r="X28" s="99" t="str">
        <f t="shared" si="7"/>
        <v/>
      </c>
      <c r="Y28" s="99" t="str">
        <f t="shared" si="8"/>
        <v/>
      </c>
      <c r="Z28" s="99" t="str">
        <f t="shared" si="12"/>
        <v/>
      </c>
      <c r="AA28" s="99" t="str">
        <f t="shared" si="13"/>
        <v/>
      </c>
      <c r="AB28" s="99" t="str">
        <f t="shared" si="9"/>
        <v/>
      </c>
      <c r="AC28" s="99" t="str">
        <f t="shared" si="10"/>
        <v/>
      </c>
      <c r="AD28" s="99" t="str">
        <f t="shared" si="11"/>
        <v/>
      </c>
      <c r="AF28" s="99">
        <f t="shared" si="16"/>
        <v>0</v>
      </c>
      <c r="AG28" s="99" t="str">
        <f t="shared" si="14"/>
        <v/>
      </c>
      <c r="AH28" s="198" t="str">
        <f t="shared" si="15"/>
        <v/>
      </c>
      <c r="AI28" s="99"/>
    </row>
    <row r="29" spans="1:35" ht="21.95" customHeight="1" x14ac:dyDescent="0.4">
      <c r="A29" s="76">
        <v>23</v>
      </c>
      <c r="B29" s="143"/>
      <c r="C29" s="144"/>
      <c r="D29" s="143"/>
      <c r="E29" s="144"/>
      <c r="F29" s="145"/>
      <c r="G29" s="146"/>
      <c r="H29" s="147"/>
      <c r="I29" s="148"/>
      <c r="J29" s="37" t="str">
        <f>IF(L29&lt;&gt;"",COUNTIF(エントリー!$D$6:$D$85,A29),"")</f>
        <v/>
      </c>
      <c r="K29" s="37"/>
      <c r="L29" s="159" t="str">
        <f t="shared" si="0"/>
        <v/>
      </c>
      <c r="M29" s="140" t="str">
        <f t="shared" si="1"/>
        <v/>
      </c>
      <c r="N29" s="140" t="str">
        <f t="shared" si="2"/>
        <v/>
      </c>
      <c r="O29" s="140">
        <f t="shared" si="3"/>
        <v>23</v>
      </c>
      <c r="P29" s="140" t="str">
        <f>IFERROR(VLOOKUP(H29,リスト!$E$10:$G$50,2,FALSE),"")</f>
        <v/>
      </c>
      <c r="Q29" s="140" t="str">
        <f>IFERROR(VLOOKUP(H29,リスト!$E$10:$G$50,3,FALSE),"")</f>
        <v/>
      </c>
      <c r="R29" s="140" t="str">
        <f>IFERROR(VLOOKUP(F29,リスト!$B$2:$C$7,2,FALSE),"")</f>
        <v/>
      </c>
      <c r="S29" s="160" t="str">
        <f>IFERROR(VLOOKUP(G29,リスト!$K$2:$L$3,2,FALSE),"")</f>
        <v/>
      </c>
      <c r="U29" s="99">
        <f t="shared" si="4"/>
        <v>23</v>
      </c>
      <c r="V29" s="99" t="str">
        <f t="shared" si="5"/>
        <v/>
      </c>
      <c r="W29" s="99" t="str">
        <f t="shared" si="6"/>
        <v/>
      </c>
      <c r="X29" s="99" t="str">
        <f t="shared" si="7"/>
        <v/>
      </c>
      <c r="Y29" s="99" t="str">
        <f t="shared" si="8"/>
        <v/>
      </c>
      <c r="Z29" s="99" t="str">
        <f t="shared" si="12"/>
        <v/>
      </c>
      <c r="AA29" s="99" t="str">
        <f t="shared" si="13"/>
        <v/>
      </c>
      <c r="AB29" s="99" t="str">
        <f t="shared" si="9"/>
        <v/>
      </c>
      <c r="AC29" s="99" t="str">
        <f t="shared" si="10"/>
        <v/>
      </c>
      <c r="AD29" s="99" t="str">
        <f t="shared" si="11"/>
        <v/>
      </c>
      <c r="AF29" s="99">
        <f t="shared" si="16"/>
        <v>0</v>
      </c>
      <c r="AG29" s="99" t="str">
        <f t="shared" si="14"/>
        <v/>
      </c>
      <c r="AH29" s="198" t="str">
        <f t="shared" si="15"/>
        <v/>
      </c>
      <c r="AI29" s="99"/>
    </row>
    <row r="30" spans="1:35" ht="21.95" customHeight="1" x14ac:dyDescent="0.4">
      <c r="A30" s="76">
        <v>24</v>
      </c>
      <c r="B30" s="143"/>
      <c r="C30" s="144"/>
      <c r="D30" s="143"/>
      <c r="E30" s="144"/>
      <c r="F30" s="145"/>
      <c r="G30" s="146"/>
      <c r="H30" s="147"/>
      <c r="I30" s="148"/>
      <c r="J30" s="37" t="str">
        <f>IF(L30&lt;&gt;"",COUNTIF(エントリー!$D$6:$D$85,A30),"")</f>
        <v/>
      </c>
      <c r="K30" s="37"/>
      <c r="L30" s="159" t="str">
        <f t="shared" si="0"/>
        <v/>
      </c>
      <c r="M30" s="140" t="str">
        <f t="shared" si="1"/>
        <v/>
      </c>
      <c r="N30" s="140" t="str">
        <f t="shared" si="2"/>
        <v/>
      </c>
      <c r="O30" s="140">
        <f t="shared" si="3"/>
        <v>24</v>
      </c>
      <c r="P30" s="140" t="str">
        <f>IFERROR(VLOOKUP(H30,リスト!$E$10:$G$50,2,FALSE),"")</f>
        <v/>
      </c>
      <c r="Q30" s="140" t="str">
        <f>IFERROR(VLOOKUP(H30,リスト!$E$10:$G$50,3,FALSE),"")</f>
        <v/>
      </c>
      <c r="R30" s="140" t="str">
        <f>IFERROR(VLOOKUP(F30,リスト!$B$2:$C$7,2,FALSE),"")</f>
        <v/>
      </c>
      <c r="S30" s="160" t="str">
        <f>IFERROR(VLOOKUP(G30,リスト!$K$2:$L$3,2,FALSE),"")</f>
        <v/>
      </c>
      <c r="U30" s="99">
        <f t="shared" si="4"/>
        <v>24</v>
      </c>
      <c r="V30" s="99" t="str">
        <f t="shared" si="5"/>
        <v/>
      </c>
      <c r="W30" s="99" t="str">
        <f t="shared" si="6"/>
        <v/>
      </c>
      <c r="X30" s="99" t="str">
        <f t="shared" si="7"/>
        <v/>
      </c>
      <c r="Y30" s="99" t="str">
        <f t="shared" si="8"/>
        <v/>
      </c>
      <c r="Z30" s="99" t="str">
        <f t="shared" si="12"/>
        <v/>
      </c>
      <c r="AA30" s="99" t="str">
        <f t="shared" si="13"/>
        <v/>
      </c>
      <c r="AB30" s="99" t="str">
        <f t="shared" si="9"/>
        <v/>
      </c>
      <c r="AC30" s="99" t="str">
        <f t="shared" si="10"/>
        <v/>
      </c>
      <c r="AD30" s="99" t="str">
        <f t="shared" si="11"/>
        <v/>
      </c>
      <c r="AF30" s="99">
        <f t="shared" si="16"/>
        <v>0</v>
      </c>
      <c r="AG30" s="99" t="str">
        <f t="shared" si="14"/>
        <v/>
      </c>
      <c r="AH30" s="198" t="str">
        <f t="shared" si="15"/>
        <v/>
      </c>
      <c r="AI30" s="99"/>
    </row>
    <row r="31" spans="1:35" ht="21.95" customHeight="1" thickBot="1" x14ac:dyDescent="0.45">
      <c r="A31" s="20">
        <v>25</v>
      </c>
      <c r="B31" s="143"/>
      <c r="C31" s="144"/>
      <c r="D31" s="143"/>
      <c r="E31" s="144"/>
      <c r="F31" s="145"/>
      <c r="G31" s="146"/>
      <c r="H31" s="147"/>
      <c r="I31" s="148"/>
      <c r="J31" s="37" t="str">
        <f>IF(L31&lt;&gt;"",COUNTIF(エントリー!$D$6:$D$85,A31),"")</f>
        <v/>
      </c>
      <c r="K31" s="37"/>
      <c r="L31" s="159" t="str">
        <f t="shared" si="0"/>
        <v/>
      </c>
      <c r="M31" s="140" t="str">
        <f t="shared" si="1"/>
        <v/>
      </c>
      <c r="N31" s="140" t="str">
        <f t="shared" si="2"/>
        <v/>
      </c>
      <c r="O31" s="140">
        <f t="shared" si="3"/>
        <v>25</v>
      </c>
      <c r="P31" s="140" t="str">
        <f>IFERROR(VLOOKUP(H31,リスト!$E$10:$G$50,2,FALSE),"")</f>
        <v/>
      </c>
      <c r="Q31" s="140" t="str">
        <f>IFERROR(VLOOKUP(H31,リスト!$E$10:$G$50,3,FALSE),"")</f>
        <v/>
      </c>
      <c r="R31" s="140" t="str">
        <f>IFERROR(VLOOKUP(F31,リスト!$B$2:$C$7,2,FALSE),"")</f>
        <v/>
      </c>
      <c r="S31" s="160" t="str">
        <f>IFERROR(VLOOKUP(G31,リスト!$K$2:$L$3,2,FALSE),"")</f>
        <v/>
      </c>
      <c r="U31" s="99">
        <f t="shared" si="4"/>
        <v>25</v>
      </c>
      <c r="V31" s="99" t="str">
        <f t="shared" si="5"/>
        <v/>
      </c>
      <c r="W31" s="99" t="str">
        <f t="shared" si="6"/>
        <v/>
      </c>
      <c r="X31" s="99" t="str">
        <f t="shared" si="7"/>
        <v/>
      </c>
      <c r="Y31" s="99" t="str">
        <f t="shared" si="8"/>
        <v/>
      </c>
      <c r="Z31" s="99" t="str">
        <f t="shared" si="12"/>
        <v/>
      </c>
      <c r="AA31" s="99" t="str">
        <f t="shared" si="13"/>
        <v/>
      </c>
      <c r="AB31" s="99" t="str">
        <f t="shared" si="9"/>
        <v/>
      </c>
      <c r="AC31" s="99" t="str">
        <f t="shared" si="10"/>
        <v/>
      </c>
      <c r="AD31" s="99" t="str">
        <f t="shared" si="11"/>
        <v/>
      </c>
      <c r="AF31" s="99">
        <f t="shared" si="16"/>
        <v>0</v>
      </c>
      <c r="AG31" s="99" t="str">
        <f t="shared" si="14"/>
        <v/>
      </c>
      <c r="AH31" s="198" t="str">
        <f t="shared" si="15"/>
        <v/>
      </c>
      <c r="AI31" s="99"/>
    </row>
    <row r="32" spans="1:35" x14ac:dyDescent="0.4">
      <c r="A32" s="223" t="s">
        <v>200</v>
      </c>
      <c r="L32" s="159"/>
      <c r="M32" s="140"/>
      <c r="N32" s="140"/>
      <c r="O32" s="140"/>
      <c r="P32" s="140"/>
      <c r="Q32" s="140"/>
      <c r="R32" s="140"/>
      <c r="S32" s="160"/>
      <c r="U32" s="99"/>
      <c r="V32" s="99" t="str">
        <f t="shared" si="5"/>
        <v/>
      </c>
      <c r="W32" s="99" t="str">
        <f t="shared" si="6"/>
        <v/>
      </c>
      <c r="X32" s="99" t="str">
        <f t="shared" si="7"/>
        <v/>
      </c>
      <c r="Y32" s="99" t="str">
        <f t="shared" si="8"/>
        <v/>
      </c>
      <c r="Z32" s="99" t="str">
        <f t="shared" ref="Z32:Z56" si="17">IF(R32&lt;&gt;"",R32,"")</f>
        <v/>
      </c>
      <c r="AA32" s="99" t="str">
        <f t="shared" ref="AA32:AA56" si="18">IF(S32&lt;&gt;"",S32,"")</f>
        <v/>
      </c>
      <c r="AB32" s="99" t="str">
        <f t="shared" si="9"/>
        <v/>
      </c>
      <c r="AC32" s="99" t="str">
        <f t="shared" si="10"/>
        <v/>
      </c>
      <c r="AD32" s="99" t="str">
        <f t="shared" si="11"/>
        <v/>
      </c>
      <c r="AF32" s="99">
        <f t="shared" si="16"/>
        <v>0</v>
      </c>
      <c r="AG32" s="99">
        <f t="shared" ref="AG32:AG56" si="19">L32</f>
        <v>0</v>
      </c>
      <c r="AH32" s="198" t="str">
        <f t="shared" si="15"/>
        <v/>
      </c>
      <c r="AI32" s="99"/>
    </row>
    <row r="33" spans="1:35" x14ac:dyDescent="0.4">
      <c r="A33" s="223" t="s">
        <v>360</v>
      </c>
      <c r="L33" s="159"/>
      <c r="M33" s="140"/>
      <c r="N33" s="140"/>
      <c r="O33" s="140"/>
      <c r="P33" s="140"/>
      <c r="Q33" s="140"/>
      <c r="R33" s="140"/>
      <c r="S33" s="160"/>
      <c r="U33" s="99"/>
      <c r="V33" s="99" t="str">
        <f t="shared" si="5"/>
        <v/>
      </c>
      <c r="W33" s="99" t="str">
        <f t="shared" si="6"/>
        <v/>
      </c>
      <c r="X33" s="99" t="str">
        <f t="shared" si="7"/>
        <v/>
      </c>
      <c r="Y33" s="99" t="str">
        <f t="shared" si="8"/>
        <v/>
      </c>
      <c r="Z33" s="99" t="str">
        <f t="shared" si="17"/>
        <v/>
      </c>
      <c r="AA33" s="99" t="str">
        <f t="shared" si="18"/>
        <v/>
      </c>
      <c r="AB33" s="99" t="str">
        <f t="shared" si="9"/>
        <v/>
      </c>
      <c r="AC33" s="99" t="str">
        <f t="shared" si="10"/>
        <v/>
      </c>
      <c r="AD33" s="99" t="str">
        <f t="shared" si="11"/>
        <v/>
      </c>
      <c r="AF33" s="99">
        <f t="shared" si="16"/>
        <v>0</v>
      </c>
      <c r="AG33" s="99">
        <f t="shared" si="19"/>
        <v>0</v>
      </c>
      <c r="AH33" s="198" t="str">
        <f t="shared" si="15"/>
        <v/>
      </c>
      <c r="AI33" s="99"/>
    </row>
    <row r="34" spans="1:35" x14ac:dyDescent="0.4">
      <c r="L34" s="159"/>
      <c r="M34" s="140"/>
      <c r="N34" s="140"/>
      <c r="O34" s="140"/>
      <c r="P34" s="140"/>
      <c r="Q34" s="140"/>
      <c r="R34" s="140"/>
      <c r="S34" s="160"/>
      <c r="U34" s="99"/>
      <c r="V34" s="99" t="str">
        <f t="shared" si="5"/>
        <v/>
      </c>
      <c r="W34" s="99" t="str">
        <f t="shared" si="6"/>
        <v/>
      </c>
      <c r="X34" s="99" t="str">
        <f t="shared" si="7"/>
        <v/>
      </c>
      <c r="Y34" s="99" t="str">
        <f t="shared" si="8"/>
        <v/>
      </c>
      <c r="Z34" s="99" t="str">
        <f t="shared" si="17"/>
        <v/>
      </c>
      <c r="AA34" s="99" t="str">
        <f t="shared" si="18"/>
        <v/>
      </c>
      <c r="AB34" s="99" t="str">
        <f t="shared" si="9"/>
        <v/>
      </c>
      <c r="AC34" s="99" t="str">
        <f t="shared" si="10"/>
        <v/>
      </c>
      <c r="AD34" s="99" t="str">
        <f t="shared" si="11"/>
        <v/>
      </c>
      <c r="AF34" s="99">
        <f t="shared" si="16"/>
        <v>0</v>
      </c>
      <c r="AG34" s="99">
        <f t="shared" si="19"/>
        <v>0</v>
      </c>
      <c r="AH34" s="198" t="str">
        <f t="shared" si="15"/>
        <v/>
      </c>
      <c r="AI34" s="99"/>
    </row>
    <row r="35" spans="1:35" x14ac:dyDescent="0.4">
      <c r="A35" t="s">
        <v>276</v>
      </c>
      <c r="L35" s="159"/>
      <c r="M35" s="140"/>
      <c r="N35" s="140"/>
      <c r="O35" s="140"/>
      <c r="P35" s="140"/>
      <c r="Q35" s="140"/>
      <c r="R35" s="140"/>
      <c r="S35" s="160"/>
      <c r="U35" s="99"/>
      <c r="V35" s="99" t="str">
        <f t="shared" si="5"/>
        <v/>
      </c>
      <c r="W35" s="99" t="str">
        <f t="shared" si="6"/>
        <v/>
      </c>
      <c r="X35" s="99" t="str">
        <f t="shared" si="7"/>
        <v/>
      </c>
      <c r="Y35" s="99" t="str">
        <f t="shared" si="8"/>
        <v/>
      </c>
      <c r="Z35" s="99" t="str">
        <f t="shared" si="17"/>
        <v/>
      </c>
      <c r="AA35" s="99" t="str">
        <f t="shared" si="18"/>
        <v/>
      </c>
      <c r="AB35" s="99" t="str">
        <f t="shared" si="9"/>
        <v/>
      </c>
      <c r="AC35" s="99" t="str">
        <f t="shared" si="10"/>
        <v/>
      </c>
      <c r="AD35" s="99" t="str">
        <f t="shared" si="11"/>
        <v/>
      </c>
      <c r="AF35" s="99">
        <f t="shared" si="16"/>
        <v>0</v>
      </c>
      <c r="AG35" s="99">
        <f t="shared" si="19"/>
        <v>0</v>
      </c>
      <c r="AH35" s="198" t="str">
        <f t="shared" si="15"/>
        <v/>
      </c>
      <c r="AI35" s="99"/>
    </row>
    <row r="36" spans="1:35" x14ac:dyDescent="0.4">
      <c r="L36" s="159"/>
      <c r="M36" s="140"/>
      <c r="N36" s="140"/>
      <c r="O36" s="140"/>
      <c r="P36" s="140"/>
      <c r="Q36" s="140"/>
      <c r="R36" s="140"/>
      <c r="S36" s="160"/>
      <c r="U36" s="99"/>
      <c r="V36" s="99" t="str">
        <f t="shared" si="5"/>
        <v/>
      </c>
      <c r="W36" s="99" t="str">
        <f t="shared" si="6"/>
        <v/>
      </c>
      <c r="X36" s="99" t="str">
        <f t="shared" si="7"/>
        <v/>
      </c>
      <c r="Y36" s="99" t="str">
        <f t="shared" si="8"/>
        <v/>
      </c>
      <c r="Z36" s="99" t="str">
        <f t="shared" si="17"/>
        <v/>
      </c>
      <c r="AA36" s="99" t="str">
        <f t="shared" si="18"/>
        <v/>
      </c>
      <c r="AB36" s="99" t="str">
        <f t="shared" si="9"/>
        <v/>
      </c>
      <c r="AC36" s="99" t="str">
        <f t="shared" si="10"/>
        <v/>
      </c>
      <c r="AD36" s="99" t="str">
        <f t="shared" si="11"/>
        <v/>
      </c>
      <c r="AF36" s="99">
        <f t="shared" si="16"/>
        <v>0</v>
      </c>
      <c r="AG36" s="99">
        <f t="shared" si="19"/>
        <v>0</v>
      </c>
      <c r="AH36" s="198" t="str">
        <f t="shared" si="15"/>
        <v/>
      </c>
      <c r="AI36" s="99"/>
    </row>
    <row r="37" spans="1:35" x14ac:dyDescent="0.4">
      <c r="A37" s="99">
        <v>51</v>
      </c>
      <c r="B37" s="99" t="str">
        <f>IF(変更申込み!$BD15&lt;&gt;"",INDEX(変更申込み!$AO$15:$AR$54,変更申込み!$BD15*2-1,1),"")</f>
        <v/>
      </c>
      <c r="C37" s="99" t="str">
        <f>IF($B37&lt;&gt;"",INDEX(変更申込み!$AO$15:$AR$54,変更申込み!$BD15*2-1,2),"")</f>
        <v/>
      </c>
      <c r="D37" s="99" t="str">
        <f>IF($B37&lt;&gt;"",INDEX(変更申込み!$AO$15:$AR$54,変更申込み!$BD15*2,1),"")</f>
        <v/>
      </c>
      <c r="E37" s="99" t="str">
        <f>IF($B37&lt;&gt;"",INDEX(変更申込み!$AO$15:$AR$54,変更申込み!$BD15*2,2),"")</f>
        <v/>
      </c>
      <c r="F37" s="99" t="str">
        <f>IF($B37&lt;&gt;"",INDEX(変更申込み!$AO$15:$AR$54,変更申込み!$BD15*2-1,3),"")</f>
        <v/>
      </c>
      <c r="G37" s="99" t="str">
        <f>IF($B37&lt;&gt;"",INDEX(変更申込み!$AO$15:$AR$54,変更申込み!$BD15*2,3),"")</f>
        <v/>
      </c>
      <c r="H37" s="99" t="str">
        <f>IF($B37&lt;&gt;"",INDEX(変更申込み!$AO$15:$AR$54,変更申込み!$BD15*2-1,4),"")</f>
        <v/>
      </c>
      <c r="I37" s="99" t="str">
        <f>IF($B37&lt;&gt;"",INDEX(変更申込み!$AO$15:$AR$54,変更申込み!$BD15*2,4),"")</f>
        <v/>
      </c>
      <c r="J37" s="37" t="str">
        <f>IF(L37&lt;&gt;"",COUNTIF(エントリー!$D$6:$D$85,A37),"")</f>
        <v/>
      </c>
      <c r="K37" s="37"/>
      <c r="L37" s="159" t="str">
        <f t="shared" ref="L37:L56" si="20">IF(B37&lt;&gt;"",B37&amp;" "&amp;C37,"")</f>
        <v/>
      </c>
      <c r="M37" s="140" t="str">
        <f t="shared" ref="M37:M56" si="21">IF(F37&lt;&gt;"",F37,"")</f>
        <v/>
      </c>
      <c r="N37" s="140" t="str">
        <f t="shared" ref="N37:N56" si="22">IF(H37&lt;&gt;"",H37,"")</f>
        <v/>
      </c>
      <c r="O37" s="140">
        <f t="shared" ref="O37:O56" si="23">A37</f>
        <v>51</v>
      </c>
      <c r="P37" s="140">
        <f>IFERROR(VLOOKUP(H37,リスト!$E$10:$G$50,2,FALSE),"")</f>
        <v>1</v>
      </c>
      <c r="Q37" s="140">
        <f>IFERROR(VLOOKUP(H37,リスト!$E$10:$G$50,3,FALSE),"")</f>
        <v>1</v>
      </c>
      <c r="R37" s="140" t="str">
        <f>IFERROR(VLOOKUP(F37,リスト!$B$2:$C$7,2,FALSE),"")</f>
        <v/>
      </c>
      <c r="S37" s="160" t="str">
        <f>IFERROR(VLOOKUP(G37,リスト!$K$2:$L$3,2,FALSE),"")</f>
        <v/>
      </c>
      <c r="U37" s="99">
        <f t="shared" ref="U37:U56" si="24">A37</f>
        <v>51</v>
      </c>
      <c r="V37" s="99" t="str">
        <f t="shared" si="5"/>
        <v/>
      </c>
      <c r="W37" s="99" t="str">
        <f t="shared" si="6"/>
        <v/>
      </c>
      <c r="X37" s="99" t="str">
        <f t="shared" si="7"/>
        <v/>
      </c>
      <c r="Y37" s="99" t="str">
        <f t="shared" si="8"/>
        <v/>
      </c>
      <c r="Z37" s="99" t="str">
        <f t="shared" si="17"/>
        <v/>
      </c>
      <c r="AA37" s="99" t="str">
        <f t="shared" si="18"/>
        <v/>
      </c>
      <c r="AB37" s="99" t="str">
        <f t="shared" si="9"/>
        <v/>
      </c>
      <c r="AC37" s="99" t="str">
        <f t="shared" si="10"/>
        <v/>
      </c>
      <c r="AD37" s="99" t="str">
        <f t="shared" si="11"/>
        <v/>
      </c>
      <c r="AF37" s="99">
        <f t="shared" si="16"/>
        <v>0</v>
      </c>
      <c r="AG37" s="99" t="str">
        <f t="shared" si="19"/>
        <v/>
      </c>
      <c r="AH37" s="198" t="str">
        <f t="shared" si="15"/>
        <v/>
      </c>
      <c r="AI37" s="99"/>
    </row>
    <row r="38" spans="1:35" x14ac:dyDescent="0.4">
      <c r="A38" s="99">
        <v>52</v>
      </c>
      <c r="B38" s="99" t="str">
        <f>IF(変更申込み!$BD16&lt;&gt;"",INDEX(変更申込み!$AO$15:$AR$54,変更申込み!$BD16*2-1,1),"")</f>
        <v/>
      </c>
      <c r="C38" s="99" t="str">
        <f>IF($B38&lt;&gt;"",INDEX(変更申込み!$AO$15:$AR$54,変更申込み!$BD16*2-1,2),"")</f>
        <v/>
      </c>
      <c r="D38" s="99" t="str">
        <f>IF($B38&lt;&gt;"",INDEX(変更申込み!$AO$15:$AR$54,変更申込み!$BD16*2,1),"")</f>
        <v/>
      </c>
      <c r="E38" s="99" t="str">
        <f>IF($B38&lt;&gt;"",INDEX(変更申込み!$AO$15:$AR$54,変更申込み!$BD16*2,2),"")</f>
        <v/>
      </c>
      <c r="F38" s="99" t="str">
        <f>IF($B38&lt;&gt;"",INDEX(変更申込み!$AO$15:$AR$54,変更申込み!$BD16*2-1,3),"")</f>
        <v/>
      </c>
      <c r="G38" s="99" t="str">
        <f>IF($B38&lt;&gt;"",INDEX(変更申込み!$AO$15:$AR$54,変更申込み!$BD16*2,3),"")</f>
        <v/>
      </c>
      <c r="H38" s="99" t="str">
        <f>IF($B38&lt;&gt;"",INDEX(変更申込み!$AO$15:$AR$54,変更申込み!$BD16*2-1,4),"")</f>
        <v/>
      </c>
      <c r="I38" s="99" t="str">
        <f>IF($B38&lt;&gt;"",INDEX(変更申込み!$AO$15:$AR$54,変更申込み!$BD16*2,4),"")</f>
        <v/>
      </c>
      <c r="J38" s="37" t="str">
        <f>IF(L38&lt;&gt;"",COUNTIF(エントリー!$D$6:$D$85,A38),"")</f>
        <v/>
      </c>
      <c r="K38" s="37"/>
      <c r="L38" s="159" t="str">
        <f t="shared" si="20"/>
        <v/>
      </c>
      <c r="M38" s="140" t="str">
        <f t="shared" si="21"/>
        <v/>
      </c>
      <c r="N38" s="140" t="str">
        <f t="shared" si="22"/>
        <v/>
      </c>
      <c r="O38" s="140">
        <f t="shared" si="23"/>
        <v>52</v>
      </c>
      <c r="P38" s="140">
        <f>IFERROR(VLOOKUP(H38,リスト!$E$10:$G$50,2,FALSE),"")</f>
        <v>1</v>
      </c>
      <c r="Q38" s="140">
        <f>IFERROR(VLOOKUP(H38,リスト!$E$10:$G$50,3,FALSE),"")</f>
        <v>1</v>
      </c>
      <c r="R38" s="140" t="str">
        <f>IFERROR(VLOOKUP(F38,リスト!$B$2:$C$7,2,FALSE),"")</f>
        <v/>
      </c>
      <c r="S38" s="160" t="str">
        <f>IFERROR(VLOOKUP(G38,リスト!$K$2:$L$3,2,FALSE),"")</f>
        <v/>
      </c>
      <c r="U38" s="99">
        <f t="shared" si="24"/>
        <v>52</v>
      </c>
      <c r="V38" s="99" t="str">
        <f t="shared" si="5"/>
        <v/>
      </c>
      <c r="W38" s="99" t="str">
        <f t="shared" si="6"/>
        <v/>
      </c>
      <c r="X38" s="99" t="str">
        <f t="shared" si="7"/>
        <v/>
      </c>
      <c r="Y38" s="99" t="str">
        <f t="shared" si="8"/>
        <v/>
      </c>
      <c r="Z38" s="99" t="str">
        <f t="shared" si="17"/>
        <v/>
      </c>
      <c r="AA38" s="99" t="str">
        <f t="shared" si="18"/>
        <v/>
      </c>
      <c r="AB38" s="99" t="str">
        <f t="shared" si="9"/>
        <v/>
      </c>
      <c r="AC38" s="99" t="str">
        <f t="shared" si="10"/>
        <v/>
      </c>
      <c r="AD38" s="99" t="str">
        <f t="shared" si="11"/>
        <v/>
      </c>
      <c r="AF38" s="99">
        <f t="shared" si="16"/>
        <v>0</v>
      </c>
      <c r="AG38" s="99" t="str">
        <f t="shared" si="19"/>
        <v/>
      </c>
      <c r="AH38" s="198" t="str">
        <f t="shared" si="15"/>
        <v/>
      </c>
      <c r="AI38" s="99"/>
    </row>
    <row r="39" spans="1:35" x14ac:dyDescent="0.4">
      <c r="A39" s="99">
        <v>53</v>
      </c>
      <c r="B39" s="99" t="str">
        <f>IF(変更申込み!$BD17&lt;&gt;"",INDEX(変更申込み!$AO$15:$AR$54,変更申込み!$BD17*2-1,1),"")</f>
        <v/>
      </c>
      <c r="C39" s="99" t="str">
        <f>IF($B39&lt;&gt;"",INDEX(変更申込み!$AO$15:$AR$54,変更申込み!$BD17*2-1,2),"")</f>
        <v/>
      </c>
      <c r="D39" s="99" t="str">
        <f>IF($B39&lt;&gt;"",INDEX(変更申込み!$AO$15:$AR$54,変更申込み!$BD17*2,1),"")</f>
        <v/>
      </c>
      <c r="E39" s="99" t="str">
        <f>IF($B39&lt;&gt;"",INDEX(変更申込み!$AO$15:$AR$54,変更申込み!$BD17*2,2),"")</f>
        <v/>
      </c>
      <c r="F39" s="99" t="str">
        <f>IF($B39&lt;&gt;"",INDEX(変更申込み!$AO$15:$AR$54,変更申込み!$BD17*2-1,3),"")</f>
        <v/>
      </c>
      <c r="G39" s="99" t="str">
        <f>IF($B39&lt;&gt;"",INDEX(変更申込み!$AO$15:$AR$54,変更申込み!$BD17*2,3),"")</f>
        <v/>
      </c>
      <c r="H39" s="99" t="str">
        <f>IF($B39&lt;&gt;"",INDEX(変更申込み!$AO$15:$AR$54,変更申込み!$BD17*2-1,4),"")</f>
        <v/>
      </c>
      <c r="I39" s="99" t="str">
        <f>IF($B39&lt;&gt;"",INDEX(変更申込み!$AO$15:$AR$54,変更申込み!$BD17*2,4),"")</f>
        <v/>
      </c>
      <c r="J39" s="37" t="str">
        <f>IF(L39&lt;&gt;"",COUNTIF(エントリー!$D$6:$D$85,A39),"")</f>
        <v/>
      </c>
      <c r="K39" s="37"/>
      <c r="L39" s="159" t="str">
        <f t="shared" si="20"/>
        <v/>
      </c>
      <c r="M39" s="140" t="str">
        <f t="shared" si="21"/>
        <v/>
      </c>
      <c r="N39" s="140" t="str">
        <f t="shared" si="22"/>
        <v/>
      </c>
      <c r="O39" s="140">
        <f t="shared" si="23"/>
        <v>53</v>
      </c>
      <c r="P39" s="140">
        <f>IFERROR(VLOOKUP(H39,リスト!$E$10:$G$50,2,FALSE),"")</f>
        <v>1</v>
      </c>
      <c r="Q39" s="140">
        <f>IFERROR(VLOOKUP(H39,リスト!$E$10:$G$50,3,FALSE),"")</f>
        <v>1</v>
      </c>
      <c r="R39" s="140" t="str">
        <f>IFERROR(VLOOKUP(F39,リスト!$B$2:$C$7,2,FALSE),"")</f>
        <v/>
      </c>
      <c r="S39" s="160" t="str">
        <f>IFERROR(VLOOKUP(G39,リスト!$K$2:$L$3,2,FALSE),"")</f>
        <v/>
      </c>
      <c r="U39" s="99">
        <f t="shared" si="24"/>
        <v>53</v>
      </c>
      <c r="V39" s="99" t="str">
        <f t="shared" ref="V39:V56" si="25">IF(B39&lt;&gt;"",B39,"")</f>
        <v/>
      </c>
      <c r="W39" s="99" t="str">
        <f t="shared" ref="W39:W56" si="26">IF(C39&lt;&gt;"",C39,"")</f>
        <v/>
      </c>
      <c r="X39" s="99" t="str">
        <f t="shared" ref="X39:X56" si="27">IF(D39&lt;&gt;"",D39,"")</f>
        <v/>
      </c>
      <c r="Y39" s="99" t="str">
        <f t="shared" ref="Y39:Y56" si="28">IF(E39&lt;&gt;"",E39,"")</f>
        <v/>
      </c>
      <c r="Z39" s="99" t="str">
        <f t="shared" si="17"/>
        <v/>
      </c>
      <c r="AA39" s="99" t="str">
        <f t="shared" si="18"/>
        <v/>
      </c>
      <c r="AB39" s="99" t="str">
        <f t="shared" ref="AB39:AB56" si="29">IF(B39&lt;&gt;"",P39,"")</f>
        <v/>
      </c>
      <c r="AC39" s="99" t="str">
        <f t="shared" ref="AC39:AC56" si="30">IF(B39&lt;&gt;"",Q39,"")</f>
        <v/>
      </c>
      <c r="AD39" s="99" t="str">
        <f t="shared" ref="AD39:AD56" si="31">IF(I39&lt;&gt;"",I39,"")</f>
        <v/>
      </c>
      <c r="AF39" s="99">
        <f t="shared" si="16"/>
        <v>0</v>
      </c>
      <c r="AG39" s="99" t="str">
        <f t="shared" si="19"/>
        <v/>
      </c>
      <c r="AH39" s="198" t="str">
        <f t="shared" si="15"/>
        <v/>
      </c>
      <c r="AI39" s="99"/>
    </row>
    <row r="40" spans="1:35" x14ac:dyDescent="0.4">
      <c r="A40" s="99">
        <v>54</v>
      </c>
      <c r="B40" s="99" t="str">
        <f>IF(変更申込み!$BD18&lt;&gt;"",INDEX(変更申込み!$AO$15:$AR$54,変更申込み!$BD18*2-1,1),"")</f>
        <v/>
      </c>
      <c r="C40" s="99" t="str">
        <f>IF($B40&lt;&gt;"",INDEX(変更申込み!$AO$15:$AR$54,変更申込み!$BD18*2-1,2),"")</f>
        <v/>
      </c>
      <c r="D40" s="99" t="str">
        <f>IF($B40&lt;&gt;"",INDEX(変更申込み!$AO$15:$AR$54,変更申込み!$BD18*2,1),"")</f>
        <v/>
      </c>
      <c r="E40" s="99" t="str">
        <f>IF($B40&lt;&gt;"",INDEX(変更申込み!$AO$15:$AR$54,変更申込み!$BD18*2,2),"")</f>
        <v/>
      </c>
      <c r="F40" s="99" t="str">
        <f>IF($B40&lt;&gt;"",INDEX(変更申込み!$AO$15:$AR$54,変更申込み!$BD18*2-1,3),"")</f>
        <v/>
      </c>
      <c r="G40" s="99" t="str">
        <f>IF($B40&lt;&gt;"",INDEX(変更申込み!$AO$15:$AR$54,変更申込み!$BD18*2,3),"")</f>
        <v/>
      </c>
      <c r="H40" s="99" t="str">
        <f>IF($B40&lt;&gt;"",INDEX(変更申込み!$AO$15:$AR$54,変更申込み!$BD18*2-1,4),"")</f>
        <v/>
      </c>
      <c r="I40" s="99" t="str">
        <f>IF($B40&lt;&gt;"",INDEX(変更申込み!$AO$15:$AR$54,変更申込み!$BD18*2,4),"")</f>
        <v/>
      </c>
      <c r="J40" s="37" t="str">
        <f>IF(L40&lt;&gt;"",COUNTIF(エントリー!$D$6:$D$85,A40),"")</f>
        <v/>
      </c>
      <c r="K40" s="37"/>
      <c r="L40" s="159" t="str">
        <f t="shared" si="20"/>
        <v/>
      </c>
      <c r="M40" s="140" t="str">
        <f t="shared" si="21"/>
        <v/>
      </c>
      <c r="N40" s="140" t="str">
        <f t="shared" si="22"/>
        <v/>
      </c>
      <c r="O40" s="140">
        <f t="shared" si="23"/>
        <v>54</v>
      </c>
      <c r="P40" s="140">
        <f>IFERROR(VLOOKUP(H40,リスト!$E$10:$G$50,2,FALSE),"")</f>
        <v>1</v>
      </c>
      <c r="Q40" s="140">
        <f>IFERROR(VLOOKUP(H40,リスト!$E$10:$G$50,3,FALSE),"")</f>
        <v>1</v>
      </c>
      <c r="R40" s="140" t="str">
        <f>IFERROR(VLOOKUP(F40,リスト!$B$2:$C$7,2,FALSE),"")</f>
        <v/>
      </c>
      <c r="S40" s="160" t="str">
        <f>IFERROR(VLOOKUP(G40,リスト!$K$2:$L$3,2,FALSE),"")</f>
        <v/>
      </c>
      <c r="U40" s="99">
        <f t="shared" si="24"/>
        <v>54</v>
      </c>
      <c r="V40" s="99" t="str">
        <f t="shared" si="25"/>
        <v/>
      </c>
      <c r="W40" s="99" t="str">
        <f t="shared" si="26"/>
        <v/>
      </c>
      <c r="X40" s="99" t="str">
        <f t="shared" si="27"/>
        <v/>
      </c>
      <c r="Y40" s="99" t="str">
        <f t="shared" si="28"/>
        <v/>
      </c>
      <c r="Z40" s="99" t="str">
        <f t="shared" si="17"/>
        <v/>
      </c>
      <c r="AA40" s="99" t="str">
        <f t="shared" si="18"/>
        <v/>
      </c>
      <c r="AB40" s="99" t="str">
        <f t="shared" si="29"/>
        <v/>
      </c>
      <c r="AC40" s="99" t="str">
        <f t="shared" si="30"/>
        <v/>
      </c>
      <c r="AD40" s="99" t="str">
        <f t="shared" si="31"/>
        <v/>
      </c>
      <c r="AF40" s="99">
        <f t="shared" si="16"/>
        <v>0</v>
      </c>
      <c r="AG40" s="99" t="str">
        <f t="shared" si="19"/>
        <v/>
      </c>
      <c r="AH40" s="198" t="str">
        <f t="shared" si="15"/>
        <v/>
      </c>
      <c r="AI40" s="99"/>
    </row>
    <row r="41" spans="1:35" x14ac:dyDescent="0.4">
      <c r="A41" s="99">
        <v>55</v>
      </c>
      <c r="B41" s="99" t="str">
        <f>IF(変更申込み!$BD19&lt;&gt;"",INDEX(変更申込み!$AO$15:$AR$54,変更申込み!$BD19*2-1,1),"")</f>
        <v/>
      </c>
      <c r="C41" s="99" t="str">
        <f>IF($B41&lt;&gt;"",INDEX(変更申込み!$AO$15:$AR$54,変更申込み!$BD19*2-1,2),"")</f>
        <v/>
      </c>
      <c r="D41" s="99" t="str">
        <f>IF($B41&lt;&gt;"",INDEX(変更申込み!$AO$15:$AR$54,変更申込み!$BD19*2,1),"")</f>
        <v/>
      </c>
      <c r="E41" s="99" t="str">
        <f>IF($B41&lt;&gt;"",INDEX(変更申込み!$AO$15:$AR$54,変更申込み!$BD19*2,2),"")</f>
        <v/>
      </c>
      <c r="F41" s="99" t="str">
        <f>IF($B41&lt;&gt;"",INDEX(変更申込み!$AO$15:$AR$54,変更申込み!$BD19*2-1,3),"")</f>
        <v/>
      </c>
      <c r="G41" s="99" t="str">
        <f>IF($B41&lt;&gt;"",INDEX(変更申込み!$AO$15:$AR$54,変更申込み!$BD19*2,3),"")</f>
        <v/>
      </c>
      <c r="H41" s="99" t="str">
        <f>IF($B41&lt;&gt;"",INDEX(変更申込み!$AO$15:$AR$54,変更申込み!$BD19*2-1,4),"")</f>
        <v/>
      </c>
      <c r="I41" s="99" t="str">
        <f>IF($B41&lt;&gt;"",INDEX(変更申込み!$AO$15:$AR$54,変更申込み!$BD19*2,4),"")</f>
        <v/>
      </c>
      <c r="J41" s="37" t="str">
        <f>IF(L41&lt;&gt;"",COUNTIF(エントリー!$D$6:$D$85,A41),"")</f>
        <v/>
      </c>
      <c r="K41" s="37"/>
      <c r="L41" s="159" t="str">
        <f t="shared" si="20"/>
        <v/>
      </c>
      <c r="M41" s="140" t="str">
        <f t="shared" si="21"/>
        <v/>
      </c>
      <c r="N41" s="140" t="str">
        <f t="shared" si="22"/>
        <v/>
      </c>
      <c r="O41" s="140">
        <f t="shared" si="23"/>
        <v>55</v>
      </c>
      <c r="P41" s="140">
        <f>IFERROR(VLOOKUP(H41,リスト!$E$10:$G$50,2,FALSE),"")</f>
        <v>1</v>
      </c>
      <c r="Q41" s="140">
        <f>IFERROR(VLOOKUP(H41,リスト!$E$10:$G$50,3,FALSE),"")</f>
        <v>1</v>
      </c>
      <c r="R41" s="140" t="str">
        <f>IFERROR(VLOOKUP(F41,リスト!$B$2:$C$7,2,FALSE),"")</f>
        <v/>
      </c>
      <c r="S41" s="160" t="str">
        <f>IFERROR(VLOOKUP(G41,リスト!$K$2:$L$3,2,FALSE),"")</f>
        <v/>
      </c>
      <c r="U41" s="99">
        <f t="shared" si="24"/>
        <v>55</v>
      </c>
      <c r="V41" s="99" t="str">
        <f t="shared" si="25"/>
        <v/>
      </c>
      <c r="W41" s="99" t="str">
        <f t="shared" si="26"/>
        <v/>
      </c>
      <c r="X41" s="99" t="str">
        <f t="shared" si="27"/>
        <v/>
      </c>
      <c r="Y41" s="99" t="str">
        <f t="shared" si="28"/>
        <v/>
      </c>
      <c r="Z41" s="99" t="str">
        <f t="shared" si="17"/>
        <v/>
      </c>
      <c r="AA41" s="99" t="str">
        <f t="shared" si="18"/>
        <v/>
      </c>
      <c r="AB41" s="99" t="str">
        <f t="shared" si="29"/>
        <v/>
      </c>
      <c r="AC41" s="99" t="str">
        <f t="shared" si="30"/>
        <v/>
      </c>
      <c r="AD41" s="99" t="str">
        <f t="shared" si="31"/>
        <v/>
      </c>
      <c r="AF41" s="99">
        <f t="shared" si="16"/>
        <v>0</v>
      </c>
      <c r="AG41" s="99" t="str">
        <f t="shared" si="19"/>
        <v/>
      </c>
      <c r="AH41" s="198" t="str">
        <f t="shared" si="15"/>
        <v/>
      </c>
      <c r="AI41" s="99"/>
    </row>
    <row r="42" spans="1:35" x14ac:dyDescent="0.4">
      <c r="A42" s="99">
        <v>56</v>
      </c>
      <c r="B42" s="99" t="str">
        <f>IF(変更申込み!$BD20&lt;&gt;"",INDEX(変更申込み!$AO$15:$AR$54,変更申込み!$BD20*2-1,1),"")</f>
        <v/>
      </c>
      <c r="C42" s="99" t="str">
        <f>IF($B42&lt;&gt;"",INDEX(変更申込み!$AO$15:$AR$54,変更申込み!$BD20*2-1,2),"")</f>
        <v/>
      </c>
      <c r="D42" s="99" t="str">
        <f>IF($B42&lt;&gt;"",INDEX(変更申込み!$AO$15:$AR$54,変更申込み!$BD20*2,1),"")</f>
        <v/>
      </c>
      <c r="E42" s="99" t="str">
        <f>IF($B42&lt;&gt;"",INDEX(変更申込み!$AO$15:$AR$54,変更申込み!$BD20*2,2),"")</f>
        <v/>
      </c>
      <c r="F42" s="99" t="str">
        <f>IF($B42&lt;&gt;"",INDEX(変更申込み!$AO$15:$AR$54,変更申込み!$BD20*2-1,3),"")</f>
        <v/>
      </c>
      <c r="G42" s="99" t="str">
        <f>IF($B42&lt;&gt;"",INDEX(変更申込み!$AO$15:$AR$54,変更申込み!$BD20*2,3),"")</f>
        <v/>
      </c>
      <c r="H42" s="99" t="str">
        <f>IF($B42&lt;&gt;"",INDEX(変更申込み!$AO$15:$AR$54,変更申込み!$BD20*2-1,4),"")</f>
        <v/>
      </c>
      <c r="I42" s="99" t="str">
        <f>IF($B42&lt;&gt;"",INDEX(変更申込み!$AO$15:$AR$54,変更申込み!$BD20*2,4),"")</f>
        <v/>
      </c>
      <c r="J42" s="37" t="str">
        <f>IF(L42&lt;&gt;"",COUNTIF(エントリー!$D$6:$D$85,A42),"")</f>
        <v/>
      </c>
      <c r="K42" s="37"/>
      <c r="L42" s="159" t="str">
        <f t="shared" si="20"/>
        <v/>
      </c>
      <c r="M42" s="140" t="str">
        <f t="shared" si="21"/>
        <v/>
      </c>
      <c r="N42" s="140" t="str">
        <f t="shared" si="22"/>
        <v/>
      </c>
      <c r="O42" s="140">
        <f t="shared" si="23"/>
        <v>56</v>
      </c>
      <c r="P42" s="140">
        <f>IFERROR(VLOOKUP(H42,リスト!$E$10:$G$50,2,FALSE),"")</f>
        <v>1</v>
      </c>
      <c r="Q42" s="140">
        <f>IFERROR(VLOOKUP(H42,リスト!$E$10:$G$50,3,FALSE),"")</f>
        <v>1</v>
      </c>
      <c r="R42" s="140" t="str">
        <f>IFERROR(VLOOKUP(F42,リスト!$B$2:$C$7,2,FALSE),"")</f>
        <v/>
      </c>
      <c r="S42" s="160" t="str">
        <f>IFERROR(VLOOKUP(G42,リスト!$K$2:$L$3,2,FALSE),"")</f>
        <v/>
      </c>
      <c r="U42" s="99">
        <f t="shared" si="24"/>
        <v>56</v>
      </c>
      <c r="V42" s="99" t="str">
        <f t="shared" si="25"/>
        <v/>
      </c>
      <c r="W42" s="99" t="str">
        <f t="shared" si="26"/>
        <v/>
      </c>
      <c r="X42" s="99" t="str">
        <f t="shared" si="27"/>
        <v/>
      </c>
      <c r="Y42" s="99" t="str">
        <f t="shared" si="28"/>
        <v/>
      </c>
      <c r="Z42" s="99" t="str">
        <f t="shared" si="17"/>
        <v/>
      </c>
      <c r="AA42" s="99" t="str">
        <f t="shared" si="18"/>
        <v/>
      </c>
      <c r="AB42" s="99" t="str">
        <f t="shared" si="29"/>
        <v/>
      </c>
      <c r="AC42" s="99" t="str">
        <f t="shared" si="30"/>
        <v/>
      </c>
      <c r="AD42" s="99" t="str">
        <f t="shared" si="31"/>
        <v/>
      </c>
      <c r="AF42" s="99">
        <f t="shared" si="16"/>
        <v>0</v>
      </c>
      <c r="AG42" s="99" t="str">
        <f t="shared" si="19"/>
        <v/>
      </c>
      <c r="AH42" s="198" t="str">
        <f t="shared" si="15"/>
        <v/>
      </c>
      <c r="AI42" s="99"/>
    </row>
    <row r="43" spans="1:35" x14ac:dyDescent="0.4">
      <c r="A43" s="99">
        <v>57</v>
      </c>
      <c r="B43" s="99" t="str">
        <f>IF(変更申込み!$BD21&lt;&gt;"",INDEX(変更申込み!$AO$15:$AR$54,変更申込み!$BD21*2-1,1),"")</f>
        <v/>
      </c>
      <c r="C43" s="99" t="str">
        <f>IF($B43&lt;&gt;"",INDEX(変更申込み!$AO$15:$AR$54,変更申込み!$BD21*2-1,2),"")</f>
        <v/>
      </c>
      <c r="D43" s="99" t="str">
        <f>IF($B43&lt;&gt;"",INDEX(変更申込み!$AO$15:$AR$54,変更申込み!$BD21*2,1),"")</f>
        <v/>
      </c>
      <c r="E43" s="99" t="str">
        <f>IF($B43&lt;&gt;"",INDEX(変更申込み!$AO$15:$AR$54,変更申込み!$BD21*2,2),"")</f>
        <v/>
      </c>
      <c r="F43" s="99" t="str">
        <f>IF($B43&lt;&gt;"",INDEX(変更申込み!$AO$15:$AR$54,変更申込み!$BD21*2-1,3),"")</f>
        <v/>
      </c>
      <c r="G43" s="99" t="str">
        <f>IF($B43&lt;&gt;"",INDEX(変更申込み!$AO$15:$AR$54,変更申込み!$BD21*2,3),"")</f>
        <v/>
      </c>
      <c r="H43" s="99" t="str">
        <f>IF($B43&lt;&gt;"",INDEX(変更申込み!$AO$15:$AR$54,変更申込み!$BD21*2-1,4),"")</f>
        <v/>
      </c>
      <c r="I43" s="99" t="str">
        <f>IF($B43&lt;&gt;"",INDEX(変更申込み!$AO$15:$AR$54,変更申込み!$BD21*2,4),"")</f>
        <v/>
      </c>
      <c r="J43" s="37" t="str">
        <f>IF(L43&lt;&gt;"",COUNTIF(エントリー!$D$6:$D$85,A43),"")</f>
        <v/>
      </c>
      <c r="K43" s="37"/>
      <c r="L43" s="159" t="str">
        <f t="shared" si="20"/>
        <v/>
      </c>
      <c r="M43" s="140" t="str">
        <f t="shared" si="21"/>
        <v/>
      </c>
      <c r="N43" s="140" t="str">
        <f t="shared" si="22"/>
        <v/>
      </c>
      <c r="O43" s="140">
        <f t="shared" si="23"/>
        <v>57</v>
      </c>
      <c r="P43" s="140">
        <f>IFERROR(VLOOKUP(H43,リスト!$E$10:$G$50,2,FALSE),"")</f>
        <v>1</v>
      </c>
      <c r="Q43" s="140">
        <f>IFERROR(VLOOKUP(H43,リスト!$E$10:$G$50,3,FALSE),"")</f>
        <v>1</v>
      </c>
      <c r="R43" s="140" t="str">
        <f>IFERROR(VLOOKUP(F43,リスト!$B$2:$C$7,2,FALSE),"")</f>
        <v/>
      </c>
      <c r="S43" s="160" t="str">
        <f>IFERROR(VLOOKUP(G43,リスト!$K$2:$L$3,2,FALSE),"")</f>
        <v/>
      </c>
      <c r="U43" s="99">
        <f t="shared" si="24"/>
        <v>57</v>
      </c>
      <c r="V43" s="99" t="str">
        <f t="shared" si="25"/>
        <v/>
      </c>
      <c r="W43" s="99" t="str">
        <f t="shared" si="26"/>
        <v/>
      </c>
      <c r="X43" s="99" t="str">
        <f t="shared" si="27"/>
        <v/>
      </c>
      <c r="Y43" s="99" t="str">
        <f t="shared" si="28"/>
        <v/>
      </c>
      <c r="Z43" s="99" t="str">
        <f t="shared" si="17"/>
        <v/>
      </c>
      <c r="AA43" s="99" t="str">
        <f t="shared" si="18"/>
        <v/>
      </c>
      <c r="AB43" s="99" t="str">
        <f t="shared" si="29"/>
        <v/>
      </c>
      <c r="AC43" s="99" t="str">
        <f t="shared" si="30"/>
        <v/>
      </c>
      <c r="AD43" s="99" t="str">
        <f t="shared" si="31"/>
        <v/>
      </c>
      <c r="AF43" s="99">
        <f t="shared" si="16"/>
        <v>0</v>
      </c>
      <c r="AG43" s="99" t="str">
        <f t="shared" si="19"/>
        <v/>
      </c>
      <c r="AH43" s="198" t="str">
        <f t="shared" si="15"/>
        <v/>
      </c>
      <c r="AI43" s="99"/>
    </row>
    <row r="44" spans="1:35" x14ac:dyDescent="0.4">
      <c r="A44" s="99">
        <v>58</v>
      </c>
      <c r="B44" s="99" t="str">
        <f>IF(変更申込み!$BD22&lt;&gt;"",INDEX(変更申込み!$AO$15:$AR$54,変更申込み!$BD22*2-1,1),"")</f>
        <v/>
      </c>
      <c r="C44" s="99" t="str">
        <f>IF($B44&lt;&gt;"",INDEX(変更申込み!$AO$15:$AR$54,変更申込み!$BD22*2-1,2),"")</f>
        <v/>
      </c>
      <c r="D44" s="99" t="str">
        <f>IF($B44&lt;&gt;"",INDEX(変更申込み!$AO$15:$AR$54,変更申込み!$BD22*2,1),"")</f>
        <v/>
      </c>
      <c r="E44" s="99" t="str">
        <f>IF($B44&lt;&gt;"",INDEX(変更申込み!$AO$15:$AR$54,変更申込み!$BD22*2,2),"")</f>
        <v/>
      </c>
      <c r="F44" s="99" t="str">
        <f>IF($B44&lt;&gt;"",INDEX(変更申込み!$AO$15:$AR$54,変更申込み!$BD22*2-1,3),"")</f>
        <v/>
      </c>
      <c r="G44" s="99" t="str">
        <f>IF($B44&lt;&gt;"",INDEX(変更申込み!$AO$15:$AR$54,変更申込み!$BD22*2,3),"")</f>
        <v/>
      </c>
      <c r="H44" s="99" t="str">
        <f>IF($B44&lt;&gt;"",INDEX(変更申込み!$AO$15:$AR$54,変更申込み!$BD22*2-1,4),"")</f>
        <v/>
      </c>
      <c r="I44" s="99" t="str">
        <f>IF($B44&lt;&gt;"",INDEX(変更申込み!$AO$15:$AR$54,変更申込み!$BD22*2,4),"")</f>
        <v/>
      </c>
      <c r="J44" s="37" t="str">
        <f>IF(L44&lt;&gt;"",COUNTIF(エントリー!$D$6:$D$85,A44),"")</f>
        <v/>
      </c>
      <c r="K44" s="37"/>
      <c r="L44" s="159" t="str">
        <f t="shared" si="20"/>
        <v/>
      </c>
      <c r="M44" s="140" t="str">
        <f t="shared" si="21"/>
        <v/>
      </c>
      <c r="N44" s="140" t="str">
        <f t="shared" si="22"/>
        <v/>
      </c>
      <c r="O44" s="140">
        <f t="shared" si="23"/>
        <v>58</v>
      </c>
      <c r="P44" s="140">
        <f>IFERROR(VLOOKUP(H44,リスト!$E$10:$G$50,2,FALSE),"")</f>
        <v>1</v>
      </c>
      <c r="Q44" s="140">
        <f>IFERROR(VLOOKUP(H44,リスト!$E$10:$G$50,3,FALSE),"")</f>
        <v>1</v>
      </c>
      <c r="R44" s="140" t="str">
        <f>IFERROR(VLOOKUP(F44,リスト!$B$2:$C$7,2,FALSE),"")</f>
        <v/>
      </c>
      <c r="S44" s="160" t="str">
        <f>IFERROR(VLOOKUP(G44,リスト!$K$2:$L$3,2,FALSE),"")</f>
        <v/>
      </c>
      <c r="U44" s="99">
        <f t="shared" si="24"/>
        <v>58</v>
      </c>
      <c r="V44" s="99" t="str">
        <f t="shared" si="25"/>
        <v/>
      </c>
      <c r="W44" s="99" t="str">
        <f t="shared" si="26"/>
        <v/>
      </c>
      <c r="X44" s="99" t="str">
        <f t="shared" si="27"/>
        <v/>
      </c>
      <c r="Y44" s="99" t="str">
        <f t="shared" si="28"/>
        <v/>
      </c>
      <c r="Z44" s="99" t="str">
        <f t="shared" si="17"/>
        <v/>
      </c>
      <c r="AA44" s="99" t="str">
        <f t="shared" si="18"/>
        <v/>
      </c>
      <c r="AB44" s="99" t="str">
        <f t="shared" si="29"/>
        <v/>
      </c>
      <c r="AC44" s="99" t="str">
        <f t="shared" si="30"/>
        <v/>
      </c>
      <c r="AD44" s="99" t="str">
        <f t="shared" si="31"/>
        <v/>
      </c>
      <c r="AF44" s="99">
        <f t="shared" si="16"/>
        <v>0</v>
      </c>
      <c r="AG44" s="99" t="str">
        <f t="shared" si="19"/>
        <v/>
      </c>
      <c r="AH44" s="198" t="str">
        <f t="shared" si="15"/>
        <v/>
      </c>
      <c r="AI44" s="99"/>
    </row>
    <row r="45" spans="1:35" x14ac:dyDescent="0.4">
      <c r="A45" s="99">
        <v>59</v>
      </c>
      <c r="B45" s="99" t="str">
        <f>IF(変更申込み!$BD23&lt;&gt;"",INDEX(変更申込み!$AO$15:$AR$54,変更申込み!$BD23*2-1,1),"")</f>
        <v/>
      </c>
      <c r="C45" s="99" t="str">
        <f>IF($B45&lt;&gt;"",INDEX(変更申込み!$AO$15:$AR$54,変更申込み!$BD23*2-1,2),"")</f>
        <v/>
      </c>
      <c r="D45" s="99" t="str">
        <f>IF($B45&lt;&gt;"",INDEX(変更申込み!$AO$15:$AR$54,変更申込み!$BD23*2,1),"")</f>
        <v/>
      </c>
      <c r="E45" s="99" t="str">
        <f>IF($B45&lt;&gt;"",INDEX(変更申込み!$AO$15:$AR$54,変更申込み!$BD23*2,2),"")</f>
        <v/>
      </c>
      <c r="F45" s="99" t="str">
        <f>IF($B45&lt;&gt;"",INDEX(変更申込み!$AO$15:$AR$54,変更申込み!$BD23*2-1,3),"")</f>
        <v/>
      </c>
      <c r="G45" s="99" t="str">
        <f>IF($B45&lt;&gt;"",INDEX(変更申込み!$AO$15:$AR$54,変更申込み!$BD23*2,3),"")</f>
        <v/>
      </c>
      <c r="H45" s="99" t="str">
        <f>IF($B45&lt;&gt;"",INDEX(変更申込み!$AO$15:$AR$54,変更申込み!$BD23*2-1,4),"")</f>
        <v/>
      </c>
      <c r="I45" s="99" t="str">
        <f>IF($B45&lt;&gt;"",INDEX(変更申込み!$AO$15:$AR$54,変更申込み!$BD23*2,4),"")</f>
        <v/>
      </c>
      <c r="J45" s="37" t="str">
        <f>IF(L45&lt;&gt;"",COUNTIF(エントリー!$D$6:$D$85,A45),"")</f>
        <v/>
      </c>
      <c r="K45" s="37"/>
      <c r="L45" s="159" t="str">
        <f t="shared" si="20"/>
        <v/>
      </c>
      <c r="M45" s="140" t="str">
        <f t="shared" si="21"/>
        <v/>
      </c>
      <c r="N45" s="140" t="str">
        <f t="shared" si="22"/>
        <v/>
      </c>
      <c r="O45" s="140">
        <f t="shared" si="23"/>
        <v>59</v>
      </c>
      <c r="P45" s="140">
        <f>IFERROR(VLOOKUP(H45,リスト!$E$10:$G$50,2,FALSE),"")</f>
        <v>1</v>
      </c>
      <c r="Q45" s="140">
        <f>IFERROR(VLOOKUP(H45,リスト!$E$10:$G$50,3,FALSE),"")</f>
        <v>1</v>
      </c>
      <c r="R45" s="140" t="str">
        <f>IFERROR(VLOOKUP(F45,リスト!$B$2:$C$7,2,FALSE),"")</f>
        <v/>
      </c>
      <c r="S45" s="160" t="str">
        <f>IFERROR(VLOOKUP(G45,リスト!$K$2:$L$3,2,FALSE),"")</f>
        <v/>
      </c>
      <c r="U45" s="99">
        <f t="shared" si="24"/>
        <v>59</v>
      </c>
      <c r="V45" s="99" t="str">
        <f t="shared" si="25"/>
        <v/>
      </c>
      <c r="W45" s="99" t="str">
        <f t="shared" si="26"/>
        <v/>
      </c>
      <c r="X45" s="99" t="str">
        <f t="shared" si="27"/>
        <v/>
      </c>
      <c r="Y45" s="99" t="str">
        <f t="shared" si="28"/>
        <v/>
      </c>
      <c r="Z45" s="99" t="str">
        <f t="shared" si="17"/>
        <v/>
      </c>
      <c r="AA45" s="99" t="str">
        <f t="shared" si="18"/>
        <v/>
      </c>
      <c r="AB45" s="99" t="str">
        <f t="shared" si="29"/>
        <v/>
      </c>
      <c r="AC45" s="99" t="str">
        <f t="shared" si="30"/>
        <v/>
      </c>
      <c r="AD45" s="99" t="str">
        <f t="shared" si="31"/>
        <v/>
      </c>
      <c r="AF45" s="99">
        <f t="shared" si="16"/>
        <v>0</v>
      </c>
      <c r="AG45" s="99" t="str">
        <f t="shared" si="19"/>
        <v/>
      </c>
      <c r="AH45" s="198" t="str">
        <f t="shared" si="15"/>
        <v/>
      </c>
      <c r="AI45" s="99"/>
    </row>
    <row r="46" spans="1:35" x14ac:dyDescent="0.4">
      <c r="A46" s="99">
        <v>60</v>
      </c>
      <c r="B46" s="99" t="str">
        <f>IF(変更申込み!$BD24&lt;&gt;"",INDEX(変更申込み!$AO$15:$AR$54,変更申込み!$BD24*2-1,1),"")</f>
        <v/>
      </c>
      <c r="C46" s="99" t="str">
        <f>IF($B46&lt;&gt;"",INDEX(変更申込み!$AO$15:$AR$54,変更申込み!$BD24*2-1,2),"")</f>
        <v/>
      </c>
      <c r="D46" s="99" t="str">
        <f>IF($B46&lt;&gt;"",INDEX(変更申込み!$AO$15:$AR$54,変更申込み!$BD24*2,1),"")</f>
        <v/>
      </c>
      <c r="E46" s="99" t="str">
        <f>IF($B46&lt;&gt;"",INDEX(変更申込み!$AO$15:$AR$54,変更申込み!$BD24*2,2),"")</f>
        <v/>
      </c>
      <c r="F46" s="99" t="str">
        <f>IF($B46&lt;&gt;"",INDEX(変更申込み!$AO$15:$AR$54,変更申込み!$BD24*2-1,3),"")</f>
        <v/>
      </c>
      <c r="G46" s="99" t="str">
        <f>IF($B46&lt;&gt;"",INDEX(変更申込み!$AO$15:$AR$54,変更申込み!$BD24*2,3),"")</f>
        <v/>
      </c>
      <c r="H46" s="99" t="str">
        <f>IF($B46&lt;&gt;"",INDEX(変更申込み!$AO$15:$AR$54,変更申込み!$BD24*2-1,4),"")</f>
        <v/>
      </c>
      <c r="I46" s="99" t="str">
        <f>IF($B46&lt;&gt;"",INDEX(変更申込み!$AO$15:$AR$54,変更申込み!$BD24*2,4),"")</f>
        <v/>
      </c>
      <c r="J46" s="37" t="str">
        <f>IF(L46&lt;&gt;"",COUNTIF(エントリー!$D$6:$D$85,A46),"")</f>
        <v/>
      </c>
      <c r="K46" s="37"/>
      <c r="L46" s="159" t="str">
        <f t="shared" si="20"/>
        <v/>
      </c>
      <c r="M46" s="140" t="str">
        <f t="shared" si="21"/>
        <v/>
      </c>
      <c r="N46" s="140" t="str">
        <f t="shared" si="22"/>
        <v/>
      </c>
      <c r="O46" s="140">
        <f t="shared" si="23"/>
        <v>60</v>
      </c>
      <c r="P46" s="140">
        <f>IFERROR(VLOOKUP(H46,リスト!$E$10:$G$50,2,FALSE),"")</f>
        <v>1</v>
      </c>
      <c r="Q46" s="140">
        <f>IFERROR(VLOOKUP(H46,リスト!$E$10:$G$50,3,FALSE),"")</f>
        <v>1</v>
      </c>
      <c r="R46" s="140" t="str">
        <f>IFERROR(VLOOKUP(F46,リスト!$B$2:$C$7,2,FALSE),"")</f>
        <v/>
      </c>
      <c r="S46" s="160" t="str">
        <f>IFERROR(VLOOKUP(G46,リスト!$K$2:$L$3,2,FALSE),"")</f>
        <v/>
      </c>
      <c r="U46" s="99">
        <f t="shared" si="24"/>
        <v>60</v>
      </c>
      <c r="V46" s="99" t="str">
        <f t="shared" si="25"/>
        <v/>
      </c>
      <c r="W46" s="99" t="str">
        <f t="shared" si="26"/>
        <v/>
      </c>
      <c r="X46" s="99" t="str">
        <f t="shared" si="27"/>
        <v/>
      </c>
      <c r="Y46" s="99" t="str">
        <f t="shared" si="28"/>
        <v/>
      </c>
      <c r="Z46" s="99" t="str">
        <f t="shared" si="17"/>
        <v/>
      </c>
      <c r="AA46" s="99" t="str">
        <f t="shared" si="18"/>
        <v/>
      </c>
      <c r="AB46" s="99" t="str">
        <f t="shared" si="29"/>
        <v/>
      </c>
      <c r="AC46" s="99" t="str">
        <f t="shared" si="30"/>
        <v/>
      </c>
      <c r="AD46" s="99" t="str">
        <f t="shared" si="31"/>
        <v/>
      </c>
      <c r="AF46" s="99">
        <f t="shared" si="16"/>
        <v>0</v>
      </c>
      <c r="AG46" s="99" t="str">
        <f t="shared" si="19"/>
        <v/>
      </c>
      <c r="AH46" s="198" t="str">
        <f t="shared" si="15"/>
        <v/>
      </c>
      <c r="AI46" s="99"/>
    </row>
    <row r="47" spans="1:35" x14ac:dyDescent="0.4">
      <c r="A47" s="99">
        <v>61</v>
      </c>
      <c r="B47" s="99" t="str">
        <f>IF(変更申込み!$BD25&lt;&gt;"",INDEX(変更申込み!$AO$15:$AR$54,変更申込み!$BD25*2-1,1),"")</f>
        <v/>
      </c>
      <c r="C47" s="99" t="str">
        <f>IF($B47&lt;&gt;"",INDEX(変更申込み!$AO$15:$AR$54,変更申込み!$BD25*2-1,2),"")</f>
        <v/>
      </c>
      <c r="D47" s="99" t="str">
        <f>IF($B47&lt;&gt;"",INDEX(変更申込み!$AO$15:$AR$54,変更申込み!$BD25*2,1),"")</f>
        <v/>
      </c>
      <c r="E47" s="99" t="str">
        <f>IF($B47&lt;&gt;"",INDEX(変更申込み!$AO$15:$AR$54,変更申込み!$BD25*2,2),"")</f>
        <v/>
      </c>
      <c r="F47" s="99" t="str">
        <f>IF($B47&lt;&gt;"",INDEX(変更申込み!$AO$15:$AR$54,変更申込み!$BD25*2-1,3),"")</f>
        <v/>
      </c>
      <c r="G47" s="99" t="str">
        <f>IF($B47&lt;&gt;"",INDEX(変更申込み!$AO$15:$AR$54,変更申込み!$BD25*2,3),"")</f>
        <v/>
      </c>
      <c r="H47" s="99" t="str">
        <f>IF($B47&lt;&gt;"",INDEX(変更申込み!$AO$15:$AR$54,変更申込み!$BD25*2-1,4),"")</f>
        <v/>
      </c>
      <c r="I47" s="99" t="str">
        <f>IF($B47&lt;&gt;"",INDEX(変更申込み!$AO$15:$AR$54,変更申込み!$BD25*2,4),"")</f>
        <v/>
      </c>
      <c r="J47" s="37" t="str">
        <f>IF(L47&lt;&gt;"",COUNTIF(エントリー!$D$6:$D$85,A47),"")</f>
        <v/>
      </c>
      <c r="K47" s="37"/>
      <c r="L47" s="159" t="str">
        <f t="shared" si="20"/>
        <v/>
      </c>
      <c r="M47" s="140" t="str">
        <f t="shared" si="21"/>
        <v/>
      </c>
      <c r="N47" s="140" t="str">
        <f t="shared" si="22"/>
        <v/>
      </c>
      <c r="O47" s="140">
        <f t="shared" si="23"/>
        <v>61</v>
      </c>
      <c r="P47" s="140">
        <f>IFERROR(VLOOKUP(H47,リスト!$E$10:$G$50,2,FALSE),"")</f>
        <v>1</v>
      </c>
      <c r="Q47" s="140">
        <f>IFERROR(VLOOKUP(H47,リスト!$E$10:$G$50,3,FALSE),"")</f>
        <v>1</v>
      </c>
      <c r="R47" s="140" t="str">
        <f>IFERROR(VLOOKUP(F47,リスト!$B$2:$C$7,2,FALSE),"")</f>
        <v/>
      </c>
      <c r="S47" s="160" t="str">
        <f>IFERROR(VLOOKUP(G47,リスト!$K$2:$L$3,2,FALSE),"")</f>
        <v/>
      </c>
      <c r="U47" s="99">
        <f t="shared" si="24"/>
        <v>61</v>
      </c>
      <c r="V47" s="99" t="str">
        <f t="shared" si="25"/>
        <v/>
      </c>
      <c r="W47" s="99" t="str">
        <f t="shared" si="26"/>
        <v/>
      </c>
      <c r="X47" s="99" t="str">
        <f t="shared" si="27"/>
        <v/>
      </c>
      <c r="Y47" s="99" t="str">
        <f t="shared" si="28"/>
        <v/>
      </c>
      <c r="Z47" s="99" t="str">
        <f t="shared" si="17"/>
        <v/>
      </c>
      <c r="AA47" s="99" t="str">
        <f t="shared" si="18"/>
        <v/>
      </c>
      <c r="AB47" s="99" t="str">
        <f t="shared" si="29"/>
        <v/>
      </c>
      <c r="AC47" s="99" t="str">
        <f t="shared" si="30"/>
        <v/>
      </c>
      <c r="AD47" s="99" t="str">
        <f t="shared" si="31"/>
        <v/>
      </c>
      <c r="AF47" s="99">
        <f t="shared" si="16"/>
        <v>0</v>
      </c>
      <c r="AG47" s="99" t="str">
        <f t="shared" si="19"/>
        <v/>
      </c>
      <c r="AH47" s="198" t="str">
        <f t="shared" si="15"/>
        <v/>
      </c>
      <c r="AI47" s="99"/>
    </row>
    <row r="48" spans="1:35" x14ac:dyDescent="0.4">
      <c r="A48" s="99">
        <v>62</v>
      </c>
      <c r="B48" s="99" t="str">
        <f>IF(変更申込み!$BD26&lt;&gt;"",INDEX(変更申込み!$AO$15:$AR$54,変更申込み!$BD26*2-1,1),"")</f>
        <v/>
      </c>
      <c r="C48" s="99" t="str">
        <f>IF($B48&lt;&gt;"",INDEX(変更申込み!$AO$15:$AR$54,変更申込み!$BD26*2-1,2),"")</f>
        <v/>
      </c>
      <c r="D48" s="99" t="str">
        <f>IF($B48&lt;&gt;"",INDEX(変更申込み!$AO$15:$AR$54,変更申込み!$BD26*2,1),"")</f>
        <v/>
      </c>
      <c r="E48" s="99" t="str">
        <f>IF($B48&lt;&gt;"",INDEX(変更申込み!$AO$15:$AR$54,変更申込み!$BD26*2,2),"")</f>
        <v/>
      </c>
      <c r="F48" s="99" t="str">
        <f>IF($B48&lt;&gt;"",INDEX(変更申込み!$AO$15:$AR$54,変更申込み!$BD26*2-1,3),"")</f>
        <v/>
      </c>
      <c r="G48" s="99" t="str">
        <f>IF($B48&lt;&gt;"",INDEX(変更申込み!$AO$15:$AR$54,変更申込み!$BD26*2,3),"")</f>
        <v/>
      </c>
      <c r="H48" s="99" t="str">
        <f>IF($B48&lt;&gt;"",INDEX(変更申込み!$AO$15:$AR$54,変更申込み!$BD26*2-1,4),"")</f>
        <v/>
      </c>
      <c r="I48" s="99" t="str">
        <f>IF($B48&lt;&gt;"",INDEX(変更申込み!$AO$15:$AR$54,変更申込み!$BD26*2,4),"")</f>
        <v/>
      </c>
      <c r="J48" s="37" t="str">
        <f>IF(L48&lt;&gt;"",COUNTIF(エントリー!$D$6:$D$85,A48),"")</f>
        <v/>
      </c>
      <c r="K48" s="37"/>
      <c r="L48" s="159" t="str">
        <f t="shared" si="20"/>
        <v/>
      </c>
      <c r="M48" s="140" t="str">
        <f t="shared" si="21"/>
        <v/>
      </c>
      <c r="N48" s="140" t="str">
        <f t="shared" si="22"/>
        <v/>
      </c>
      <c r="O48" s="140">
        <f t="shared" si="23"/>
        <v>62</v>
      </c>
      <c r="P48" s="140">
        <f>IFERROR(VLOOKUP(H48,リスト!$E$10:$G$50,2,FALSE),"")</f>
        <v>1</v>
      </c>
      <c r="Q48" s="140">
        <f>IFERROR(VLOOKUP(H48,リスト!$E$10:$G$50,3,FALSE),"")</f>
        <v>1</v>
      </c>
      <c r="R48" s="140" t="str">
        <f>IFERROR(VLOOKUP(F48,リスト!$B$2:$C$7,2,FALSE),"")</f>
        <v/>
      </c>
      <c r="S48" s="160" t="str">
        <f>IFERROR(VLOOKUP(G48,リスト!$K$2:$L$3,2,FALSE),"")</f>
        <v/>
      </c>
      <c r="U48" s="99">
        <f t="shared" si="24"/>
        <v>62</v>
      </c>
      <c r="V48" s="99" t="str">
        <f t="shared" si="25"/>
        <v/>
      </c>
      <c r="W48" s="99" t="str">
        <f t="shared" si="26"/>
        <v/>
      </c>
      <c r="X48" s="99" t="str">
        <f t="shared" si="27"/>
        <v/>
      </c>
      <c r="Y48" s="99" t="str">
        <f t="shared" si="28"/>
        <v/>
      </c>
      <c r="Z48" s="99" t="str">
        <f t="shared" si="17"/>
        <v/>
      </c>
      <c r="AA48" s="99" t="str">
        <f t="shared" si="18"/>
        <v/>
      </c>
      <c r="AB48" s="99" t="str">
        <f t="shared" si="29"/>
        <v/>
      </c>
      <c r="AC48" s="99" t="str">
        <f t="shared" si="30"/>
        <v/>
      </c>
      <c r="AD48" s="99" t="str">
        <f t="shared" si="31"/>
        <v/>
      </c>
      <c r="AF48" s="99">
        <f t="shared" si="16"/>
        <v>0</v>
      </c>
      <c r="AG48" s="99" t="str">
        <f t="shared" si="19"/>
        <v/>
      </c>
      <c r="AH48" s="198" t="str">
        <f t="shared" si="15"/>
        <v/>
      </c>
      <c r="AI48" s="99"/>
    </row>
    <row r="49" spans="1:35" x14ac:dyDescent="0.4">
      <c r="A49" s="99">
        <v>63</v>
      </c>
      <c r="B49" s="99" t="str">
        <f>IF(変更申込み!$BD27&lt;&gt;"",INDEX(変更申込み!$AO$15:$AR$54,変更申込み!$BD27*2-1,1),"")</f>
        <v/>
      </c>
      <c r="C49" s="99" t="str">
        <f>IF($B49&lt;&gt;"",INDEX(変更申込み!$AO$15:$AR$54,変更申込み!$BD27*2-1,2),"")</f>
        <v/>
      </c>
      <c r="D49" s="99" t="str">
        <f>IF($B49&lt;&gt;"",INDEX(変更申込み!$AO$15:$AR$54,変更申込み!$BD27*2,1),"")</f>
        <v/>
      </c>
      <c r="E49" s="99" t="str">
        <f>IF($B49&lt;&gt;"",INDEX(変更申込み!$AO$15:$AR$54,変更申込み!$BD27*2,2),"")</f>
        <v/>
      </c>
      <c r="F49" s="99" t="str">
        <f>IF($B49&lt;&gt;"",INDEX(変更申込み!$AO$15:$AR$54,変更申込み!$BD27*2-1,3),"")</f>
        <v/>
      </c>
      <c r="G49" s="99" t="str">
        <f>IF($B49&lt;&gt;"",INDEX(変更申込み!$AO$15:$AR$54,変更申込み!$BD27*2,3),"")</f>
        <v/>
      </c>
      <c r="H49" s="99" t="str">
        <f>IF($B49&lt;&gt;"",INDEX(変更申込み!$AO$15:$AR$54,変更申込み!$BD27*2-1,4),"")</f>
        <v/>
      </c>
      <c r="I49" s="99" t="str">
        <f>IF($B49&lt;&gt;"",INDEX(変更申込み!$AO$15:$AR$54,変更申込み!$BD27*2,4),"")</f>
        <v/>
      </c>
      <c r="J49" s="37" t="str">
        <f>IF(L49&lt;&gt;"",COUNTIF(エントリー!$D$6:$D$85,A49),"")</f>
        <v/>
      </c>
      <c r="K49" s="37"/>
      <c r="L49" s="159" t="str">
        <f t="shared" si="20"/>
        <v/>
      </c>
      <c r="M49" s="140" t="str">
        <f t="shared" si="21"/>
        <v/>
      </c>
      <c r="N49" s="140" t="str">
        <f t="shared" si="22"/>
        <v/>
      </c>
      <c r="O49" s="140">
        <f t="shared" si="23"/>
        <v>63</v>
      </c>
      <c r="P49" s="140">
        <f>IFERROR(VLOOKUP(H49,リスト!$E$10:$G$50,2,FALSE),"")</f>
        <v>1</v>
      </c>
      <c r="Q49" s="140">
        <f>IFERROR(VLOOKUP(H49,リスト!$E$10:$G$50,3,FALSE),"")</f>
        <v>1</v>
      </c>
      <c r="R49" s="140" t="str">
        <f>IFERROR(VLOOKUP(F49,リスト!$B$2:$C$7,2,FALSE),"")</f>
        <v/>
      </c>
      <c r="S49" s="160" t="str">
        <f>IFERROR(VLOOKUP(G49,リスト!$K$2:$L$3,2,FALSE),"")</f>
        <v/>
      </c>
      <c r="U49" s="99">
        <f t="shared" si="24"/>
        <v>63</v>
      </c>
      <c r="V49" s="99" t="str">
        <f t="shared" si="25"/>
        <v/>
      </c>
      <c r="W49" s="99" t="str">
        <f t="shared" si="26"/>
        <v/>
      </c>
      <c r="X49" s="99" t="str">
        <f t="shared" si="27"/>
        <v/>
      </c>
      <c r="Y49" s="99" t="str">
        <f t="shared" si="28"/>
        <v/>
      </c>
      <c r="Z49" s="99" t="str">
        <f t="shared" si="17"/>
        <v/>
      </c>
      <c r="AA49" s="99" t="str">
        <f t="shared" si="18"/>
        <v/>
      </c>
      <c r="AB49" s="99" t="str">
        <f t="shared" si="29"/>
        <v/>
      </c>
      <c r="AC49" s="99" t="str">
        <f t="shared" si="30"/>
        <v/>
      </c>
      <c r="AD49" s="99" t="str">
        <f t="shared" si="31"/>
        <v/>
      </c>
      <c r="AF49" s="99">
        <f t="shared" si="16"/>
        <v>0</v>
      </c>
      <c r="AG49" s="99" t="str">
        <f t="shared" si="19"/>
        <v/>
      </c>
      <c r="AH49" s="198" t="str">
        <f t="shared" si="15"/>
        <v/>
      </c>
      <c r="AI49" s="99"/>
    </row>
    <row r="50" spans="1:35" x14ac:dyDescent="0.4">
      <c r="A50" s="99">
        <v>64</v>
      </c>
      <c r="B50" s="99" t="str">
        <f>IF(変更申込み!$BD28&lt;&gt;"",INDEX(変更申込み!$AO$15:$AR$54,変更申込み!$BD28*2-1,1),"")</f>
        <v/>
      </c>
      <c r="C50" s="99" t="str">
        <f>IF($B50&lt;&gt;"",INDEX(変更申込み!$AO$15:$AR$54,変更申込み!$BD28*2-1,2),"")</f>
        <v/>
      </c>
      <c r="D50" s="99" t="str">
        <f>IF($B50&lt;&gt;"",INDEX(変更申込み!$AO$15:$AR$54,変更申込み!$BD28*2,1),"")</f>
        <v/>
      </c>
      <c r="E50" s="99" t="str">
        <f>IF($B50&lt;&gt;"",INDEX(変更申込み!$AO$15:$AR$54,変更申込み!$BD28*2,2),"")</f>
        <v/>
      </c>
      <c r="F50" s="99" t="str">
        <f>IF($B50&lt;&gt;"",INDEX(変更申込み!$AO$15:$AR$54,変更申込み!$BD28*2-1,3),"")</f>
        <v/>
      </c>
      <c r="G50" s="99" t="str">
        <f>IF($B50&lt;&gt;"",INDEX(変更申込み!$AO$15:$AR$54,変更申込み!$BD28*2,3),"")</f>
        <v/>
      </c>
      <c r="H50" s="99" t="str">
        <f>IF($B50&lt;&gt;"",INDEX(変更申込み!$AO$15:$AR$54,変更申込み!$BD28*2-1,4),"")</f>
        <v/>
      </c>
      <c r="I50" s="99" t="str">
        <f>IF($B50&lt;&gt;"",INDEX(変更申込み!$AO$15:$AR$54,変更申込み!$BD28*2,4),"")</f>
        <v/>
      </c>
      <c r="J50" s="37" t="str">
        <f>IF(L50&lt;&gt;"",COUNTIF(エントリー!$D$6:$D$85,A50),"")</f>
        <v/>
      </c>
      <c r="K50" s="37"/>
      <c r="L50" s="159" t="str">
        <f t="shared" si="20"/>
        <v/>
      </c>
      <c r="M50" s="140" t="str">
        <f t="shared" si="21"/>
        <v/>
      </c>
      <c r="N50" s="140" t="str">
        <f t="shared" si="22"/>
        <v/>
      </c>
      <c r="O50" s="140">
        <f t="shared" si="23"/>
        <v>64</v>
      </c>
      <c r="P50" s="140">
        <f>IFERROR(VLOOKUP(H50,リスト!$E$10:$G$50,2,FALSE),"")</f>
        <v>1</v>
      </c>
      <c r="Q50" s="140">
        <f>IFERROR(VLOOKUP(H50,リスト!$E$10:$G$50,3,FALSE),"")</f>
        <v>1</v>
      </c>
      <c r="R50" s="140" t="str">
        <f>IFERROR(VLOOKUP(F50,リスト!$B$2:$C$7,2,FALSE),"")</f>
        <v/>
      </c>
      <c r="S50" s="160" t="str">
        <f>IFERROR(VLOOKUP(G50,リスト!$K$2:$L$3,2,FALSE),"")</f>
        <v/>
      </c>
      <c r="U50" s="99">
        <f t="shared" si="24"/>
        <v>64</v>
      </c>
      <c r="V50" s="99" t="str">
        <f t="shared" si="25"/>
        <v/>
      </c>
      <c r="W50" s="99" t="str">
        <f t="shared" si="26"/>
        <v/>
      </c>
      <c r="X50" s="99" t="str">
        <f t="shared" si="27"/>
        <v/>
      </c>
      <c r="Y50" s="99" t="str">
        <f t="shared" si="28"/>
        <v/>
      </c>
      <c r="Z50" s="99" t="str">
        <f t="shared" si="17"/>
        <v/>
      </c>
      <c r="AA50" s="99" t="str">
        <f t="shared" si="18"/>
        <v/>
      </c>
      <c r="AB50" s="99" t="str">
        <f t="shared" si="29"/>
        <v/>
      </c>
      <c r="AC50" s="99" t="str">
        <f t="shared" si="30"/>
        <v/>
      </c>
      <c r="AD50" s="99" t="str">
        <f t="shared" si="31"/>
        <v/>
      </c>
      <c r="AF50" s="99">
        <f t="shared" si="16"/>
        <v>0</v>
      </c>
      <c r="AG50" s="99" t="str">
        <f t="shared" si="19"/>
        <v/>
      </c>
      <c r="AH50" s="198" t="str">
        <f t="shared" si="15"/>
        <v/>
      </c>
      <c r="AI50" s="99"/>
    </row>
    <row r="51" spans="1:35" x14ac:dyDescent="0.4">
      <c r="A51" s="99">
        <v>65</v>
      </c>
      <c r="B51" s="99" t="str">
        <f>IF(変更申込み!$BD29&lt;&gt;"",INDEX(変更申込み!$AO$15:$AR$54,変更申込み!$BD29*2-1,1),"")</f>
        <v/>
      </c>
      <c r="C51" s="99" t="str">
        <f>IF($B51&lt;&gt;"",INDEX(変更申込み!$AO$15:$AR$54,変更申込み!$BD29*2-1,2),"")</f>
        <v/>
      </c>
      <c r="D51" s="99" t="str">
        <f>IF($B51&lt;&gt;"",INDEX(変更申込み!$AO$15:$AR$54,変更申込み!$BD29*2,1),"")</f>
        <v/>
      </c>
      <c r="E51" s="99" t="str">
        <f>IF($B51&lt;&gt;"",INDEX(変更申込み!$AO$15:$AR$54,変更申込み!$BD29*2,2),"")</f>
        <v/>
      </c>
      <c r="F51" s="99" t="str">
        <f>IF($B51&lt;&gt;"",INDEX(変更申込み!$AO$15:$AR$54,変更申込み!$BD29*2-1,3),"")</f>
        <v/>
      </c>
      <c r="G51" s="99" t="str">
        <f>IF($B51&lt;&gt;"",INDEX(変更申込み!$AO$15:$AR$54,変更申込み!$BD29*2,3),"")</f>
        <v/>
      </c>
      <c r="H51" s="99" t="str">
        <f>IF($B51&lt;&gt;"",INDEX(変更申込み!$AO$15:$AR$54,変更申込み!$BD29*2-1,4),"")</f>
        <v/>
      </c>
      <c r="I51" s="99" t="str">
        <f>IF($B51&lt;&gt;"",INDEX(変更申込み!$AO$15:$AR$54,変更申込み!$BD29*2,4),"")</f>
        <v/>
      </c>
      <c r="J51" s="37" t="str">
        <f>IF(L51&lt;&gt;"",COUNTIF(エントリー!$D$6:$D$85,A51),"")</f>
        <v/>
      </c>
      <c r="K51" s="37"/>
      <c r="L51" s="159" t="str">
        <f t="shared" si="20"/>
        <v/>
      </c>
      <c r="M51" s="140" t="str">
        <f t="shared" si="21"/>
        <v/>
      </c>
      <c r="N51" s="140" t="str">
        <f t="shared" si="22"/>
        <v/>
      </c>
      <c r="O51" s="140">
        <f t="shared" si="23"/>
        <v>65</v>
      </c>
      <c r="P51" s="140">
        <f>IFERROR(VLOOKUP(H51,リスト!$E$10:$G$50,2,FALSE),"")</f>
        <v>1</v>
      </c>
      <c r="Q51" s="140">
        <f>IFERROR(VLOOKUP(H51,リスト!$E$10:$G$50,3,FALSE),"")</f>
        <v>1</v>
      </c>
      <c r="R51" s="140" t="str">
        <f>IFERROR(VLOOKUP(F51,リスト!$B$2:$C$7,2,FALSE),"")</f>
        <v/>
      </c>
      <c r="S51" s="160" t="str">
        <f>IFERROR(VLOOKUP(G51,リスト!$K$2:$L$3,2,FALSE),"")</f>
        <v/>
      </c>
      <c r="U51" s="99">
        <f t="shared" si="24"/>
        <v>65</v>
      </c>
      <c r="V51" s="99" t="str">
        <f t="shared" si="25"/>
        <v/>
      </c>
      <c r="W51" s="99" t="str">
        <f t="shared" si="26"/>
        <v/>
      </c>
      <c r="X51" s="99" t="str">
        <f t="shared" si="27"/>
        <v/>
      </c>
      <c r="Y51" s="99" t="str">
        <f t="shared" si="28"/>
        <v/>
      </c>
      <c r="Z51" s="99" t="str">
        <f t="shared" si="17"/>
        <v/>
      </c>
      <c r="AA51" s="99" t="str">
        <f t="shared" si="18"/>
        <v/>
      </c>
      <c r="AB51" s="99" t="str">
        <f t="shared" si="29"/>
        <v/>
      </c>
      <c r="AC51" s="99" t="str">
        <f t="shared" si="30"/>
        <v/>
      </c>
      <c r="AD51" s="99" t="str">
        <f t="shared" si="31"/>
        <v/>
      </c>
      <c r="AF51" s="99">
        <f t="shared" si="16"/>
        <v>0</v>
      </c>
      <c r="AG51" s="99" t="str">
        <f t="shared" si="19"/>
        <v/>
      </c>
      <c r="AH51" s="198" t="str">
        <f t="shared" si="15"/>
        <v/>
      </c>
      <c r="AI51" s="99"/>
    </row>
    <row r="52" spans="1:35" x14ac:dyDescent="0.4">
      <c r="A52" s="99">
        <v>66</v>
      </c>
      <c r="B52" s="99" t="str">
        <f>IF(変更申込み!$BD30&lt;&gt;"",INDEX(変更申込み!$AO$15:$AR$54,変更申込み!$BD30*2-1,1),"")</f>
        <v/>
      </c>
      <c r="C52" s="99" t="str">
        <f>IF($B52&lt;&gt;"",INDEX(変更申込み!$AO$15:$AR$54,変更申込み!$BD30*2-1,2),"")</f>
        <v/>
      </c>
      <c r="D52" s="99" t="str">
        <f>IF($B52&lt;&gt;"",INDEX(変更申込み!$AO$15:$AR$54,変更申込み!$BD30*2,1),"")</f>
        <v/>
      </c>
      <c r="E52" s="99" t="str">
        <f>IF($B52&lt;&gt;"",INDEX(変更申込み!$AO$15:$AR$54,変更申込み!$BD30*2,2),"")</f>
        <v/>
      </c>
      <c r="F52" s="99" t="str">
        <f>IF($B52&lt;&gt;"",INDEX(変更申込み!$AO$15:$AR$54,変更申込み!$BD30*2-1,3),"")</f>
        <v/>
      </c>
      <c r="G52" s="99" t="str">
        <f>IF($B52&lt;&gt;"",INDEX(変更申込み!$AO$15:$AR$54,変更申込み!$BD30*2,3),"")</f>
        <v/>
      </c>
      <c r="H52" s="99" t="str">
        <f>IF($B52&lt;&gt;"",INDEX(変更申込み!$AO$15:$AR$54,変更申込み!$BD30*2-1,4),"")</f>
        <v/>
      </c>
      <c r="I52" s="99" t="str">
        <f>IF($B52&lt;&gt;"",INDEX(変更申込み!$AO$15:$AR$54,変更申込み!$BD30*2,4),"")</f>
        <v/>
      </c>
      <c r="J52" s="37" t="str">
        <f>IF(L52&lt;&gt;"",COUNTIF(エントリー!$D$6:$D$85,A52),"")</f>
        <v/>
      </c>
      <c r="K52" s="37"/>
      <c r="L52" s="159" t="str">
        <f t="shared" si="20"/>
        <v/>
      </c>
      <c r="M52" s="140" t="str">
        <f t="shared" si="21"/>
        <v/>
      </c>
      <c r="N52" s="140" t="str">
        <f t="shared" si="22"/>
        <v/>
      </c>
      <c r="O52" s="140">
        <f t="shared" si="23"/>
        <v>66</v>
      </c>
      <c r="P52" s="140">
        <f>IFERROR(VLOOKUP(H52,リスト!$E$10:$G$50,2,FALSE),"")</f>
        <v>1</v>
      </c>
      <c r="Q52" s="140">
        <f>IFERROR(VLOOKUP(H52,リスト!$E$10:$G$50,3,FALSE),"")</f>
        <v>1</v>
      </c>
      <c r="R52" s="140" t="str">
        <f>IFERROR(VLOOKUP(F52,リスト!$B$2:$C$7,2,FALSE),"")</f>
        <v/>
      </c>
      <c r="S52" s="160" t="str">
        <f>IFERROR(VLOOKUP(G52,リスト!$K$2:$L$3,2,FALSE),"")</f>
        <v/>
      </c>
      <c r="U52" s="99">
        <f t="shared" si="24"/>
        <v>66</v>
      </c>
      <c r="V52" s="99" t="str">
        <f t="shared" si="25"/>
        <v/>
      </c>
      <c r="W52" s="99" t="str">
        <f t="shared" si="26"/>
        <v/>
      </c>
      <c r="X52" s="99" t="str">
        <f t="shared" si="27"/>
        <v/>
      </c>
      <c r="Y52" s="99" t="str">
        <f t="shared" si="28"/>
        <v/>
      </c>
      <c r="Z52" s="99" t="str">
        <f t="shared" si="17"/>
        <v/>
      </c>
      <c r="AA52" s="99" t="str">
        <f t="shared" si="18"/>
        <v/>
      </c>
      <c r="AB52" s="99" t="str">
        <f t="shared" si="29"/>
        <v/>
      </c>
      <c r="AC52" s="99" t="str">
        <f t="shared" si="30"/>
        <v/>
      </c>
      <c r="AD52" s="99" t="str">
        <f t="shared" si="31"/>
        <v/>
      </c>
      <c r="AF52" s="99">
        <f t="shared" si="16"/>
        <v>0</v>
      </c>
      <c r="AG52" s="99" t="str">
        <f t="shared" si="19"/>
        <v/>
      </c>
      <c r="AH52" s="198" t="str">
        <f t="shared" si="15"/>
        <v/>
      </c>
      <c r="AI52" s="99"/>
    </row>
    <row r="53" spans="1:35" x14ac:dyDescent="0.4">
      <c r="A53" s="99">
        <v>67</v>
      </c>
      <c r="B53" s="99" t="str">
        <f>IF(変更申込み!$BD31&lt;&gt;"",INDEX(変更申込み!$AO$15:$AR$54,変更申込み!$BD31*2-1,1),"")</f>
        <v/>
      </c>
      <c r="C53" s="99" t="str">
        <f>IF($B53&lt;&gt;"",INDEX(変更申込み!$AO$15:$AR$54,変更申込み!$BD31*2-1,2),"")</f>
        <v/>
      </c>
      <c r="D53" s="99" t="str">
        <f>IF($B53&lt;&gt;"",INDEX(変更申込み!$AO$15:$AR$54,変更申込み!$BD31*2,1),"")</f>
        <v/>
      </c>
      <c r="E53" s="99" t="str">
        <f>IF($B53&lt;&gt;"",INDEX(変更申込み!$AO$15:$AR$54,変更申込み!$BD31*2,2),"")</f>
        <v/>
      </c>
      <c r="F53" s="99" t="str">
        <f>IF($B53&lt;&gt;"",INDEX(変更申込み!$AO$15:$AR$54,変更申込み!$BD31*2-1,3),"")</f>
        <v/>
      </c>
      <c r="G53" s="99" t="str">
        <f>IF($B53&lt;&gt;"",INDEX(変更申込み!$AO$15:$AR$54,変更申込み!$BD31*2,3),"")</f>
        <v/>
      </c>
      <c r="H53" s="99" t="str">
        <f>IF($B53&lt;&gt;"",INDEX(変更申込み!$AO$15:$AR$54,変更申込み!$BD31*2-1,4),"")</f>
        <v/>
      </c>
      <c r="I53" s="99" t="str">
        <f>IF($B53&lt;&gt;"",INDEX(変更申込み!$AO$15:$AR$54,変更申込み!$BD31*2,4),"")</f>
        <v/>
      </c>
      <c r="J53" s="37" t="str">
        <f>IF(L53&lt;&gt;"",COUNTIF(エントリー!$D$6:$D$85,A53),"")</f>
        <v/>
      </c>
      <c r="K53" s="37"/>
      <c r="L53" s="159" t="str">
        <f t="shared" si="20"/>
        <v/>
      </c>
      <c r="M53" s="140" t="str">
        <f t="shared" si="21"/>
        <v/>
      </c>
      <c r="N53" s="140" t="str">
        <f t="shared" si="22"/>
        <v/>
      </c>
      <c r="O53" s="140">
        <f t="shared" si="23"/>
        <v>67</v>
      </c>
      <c r="P53" s="140">
        <f>IFERROR(VLOOKUP(H53,リスト!$E$10:$G$50,2,FALSE),"")</f>
        <v>1</v>
      </c>
      <c r="Q53" s="140">
        <f>IFERROR(VLOOKUP(H53,リスト!$E$10:$G$50,3,FALSE),"")</f>
        <v>1</v>
      </c>
      <c r="R53" s="140" t="str">
        <f>IFERROR(VLOOKUP(F53,リスト!$B$2:$C$7,2,FALSE),"")</f>
        <v/>
      </c>
      <c r="S53" s="160" t="str">
        <f>IFERROR(VLOOKUP(G53,リスト!$K$2:$L$3,2,FALSE),"")</f>
        <v/>
      </c>
      <c r="U53" s="99">
        <f t="shared" si="24"/>
        <v>67</v>
      </c>
      <c r="V53" s="99" t="str">
        <f t="shared" si="25"/>
        <v/>
      </c>
      <c r="W53" s="99" t="str">
        <f t="shared" si="26"/>
        <v/>
      </c>
      <c r="X53" s="99" t="str">
        <f t="shared" si="27"/>
        <v/>
      </c>
      <c r="Y53" s="99" t="str">
        <f t="shared" si="28"/>
        <v/>
      </c>
      <c r="Z53" s="99" t="str">
        <f t="shared" si="17"/>
        <v/>
      </c>
      <c r="AA53" s="99" t="str">
        <f t="shared" si="18"/>
        <v/>
      </c>
      <c r="AB53" s="99" t="str">
        <f t="shared" si="29"/>
        <v/>
      </c>
      <c r="AC53" s="99" t="str">
        <f t="shared" si="30"/>
        <v/>
      </c>
      <c r="AD53" s="99" t="str">
        <f t="shared" si="31"/>
        <v/>
      </c>
      <c r="AF53" s="99">
        <f t="shared" si="16"/>
        <v>0</v>
      </c>
      <c r="AG53" s="99" t="str">
        <f t="shared" si="19"/>
        <v/>
      </c>
      <c r="AH53" s="198" t="str">
        <f t="shared" si="15"/>
        <v/>
      </c>
      <c r="AI53" s="99"/>
    </row>
    <row r="54" spans="1:35" x14ac:dyDescent="0.4">
      <c r="A54" s="99">
        <v>68</v>
      </c>
      <c r="B54" s="99" t="str">
        <f>IF(変更申込み!$BD32&lt;&gt;"",INDEX(変更申込み!$AO$15:$AR$54,変更申込み!$BD32*2-1,1),"")</f>
        <v/>
      </c>
      <c r="C54" s="99" t="str">
        <f>IF($B54&lt;&gt;"",INDEX(変更申込み!$AO$15:$AR$54,変更申込み!$BD32*2-1,2),"")</f>
        <v/>
      </c>
      <c r="D54" s="99" t="str">
        <f>IF($B54&lt;&gt;"",INDEX(変更申込み!$AO$15:$AR$54,変更申込み!$BD32*2,1),"")</f>
        <v/>
      </c>
      <c r="E54" s="99" t="str">
        <f>IF($B54&lt;&gt;"",INDEX(変更申込み!$AO$15:$AR$54,変更申込み!$BD32*2,2),"")</f>
        <v/>
      </c>
      <c r="F54" s="99" t="str">
        <f>IF($B54&lt;&gt;"",INDEX(変更申込み!$AO$15:$AR$54,変更申込み!$BD32*2-1,3),"")</f>
        <v/>
      </c>
      <c r="G54" s="99" t="str">
        <f>IF($B54&lt;&gt;"",INDEX(変更申込み!$AO$15:$AR$54,変更申込み!$BD32*2,3),"")</f>
        <v/>
      </c>
      <c r="H54" s="99" t="str">
        <f>IF($B54&lt;&gt;"",INDEX(変更申込み!$AO$15:$AR$54,変更申込み!$BD32*2-1,4),"")</f>
        <v/>
      </c>
      <c r="I54" s="99" t="str">
        <f>IF($B54&lt;&gt;"",INDEX(変更申込み!$AO$15:$AR$54,変更申込み!$BD32*2,4),"")</f>
        <v/>
      </c>
      <c r="J54" s="37" t="str">
        <f>IF(L54&lt;&gt;"",COUNTIF(エントリー!$D$6:$D$85,A54),"")</f>
        <v/>
      </c>
      <c r="K54" s="37"/>
      <c r="L54" s="159" t="str">
        <f t="shared" si="20"/>
        <v/>
      </c>
      <c r="M54" s="140" t="str">
        <f t="shared" si="21"/>
        <v/>
      </c>
      <c r="N54" s="140" t="str">
        <f t="shared" si="22"/>
        <v/>
      </c>
      <c r="O54" s="140">
        <f t="shared" si="23"/>
        <v>68</v>
      </c>
      <c r="P54" s="140">
        <f>IFERROR(VLOOKUP(H54,リスト!$E$10:$G$50,2,FALSE),"")</f>
        <v>1</v>
      </c>
      <c r="Q54" s="140">
        <f>IFERROR(VLOOKUP(H54,リスト!$E$10:$G$50,3,FALSE),"")</f>
        <v>1</v>
      </c>
      <c r="R54" s="140" t="str">
        <f>IFERROR(VLOOKUP(F54,リスト!$B$2:$C$7,2,FALSE),"")</f>
        <v/>
      </c>
      <c r="S54" s="160" t="str">
        <f>IFERROR(VLOOKUP(G54,リスト!$K$2:$L$3,2,FALSE),"")</f>
        <v/>
      </c>
      <c r="U54" s="99">
        <f t="shared" si="24"/>
        <v>68</v>
      </c>
      <c r="V54" s="99" t="str">
        <f t="shared" si="25"/>
        <v/>
      </c>
      <c r="W54" s="99" t="str">
        <f t="shared" si="26"/>
        <v/>
      </c>
      <c r="X54" s="99" t="str">
        <f t="shared" si="27"/>
        <v/>
      </c>
      <c r="Y54" s="99" t="str">
        <f t="shared" si="28"/>
        <v/>
      </c>
      <c r="Z54" s="99" t="str">
        <f t="shared" si="17"/>
        <v/>
      </c>
      <c r="AA54" s="99" t="str">
        <f t="shared" si="18"/>
        <v/>
      </c>
      <c r="AB54" s="99" t="str">
        <f t="shared" si="29"/>
        <v/>
      </c>
      <c r="AC54" s="99" t="str">
        <f t="shared" si="30"/>
        <v/>
      </c>
      <c r="AD54" s="99" t="str">
        <f t="shared" si="31"/>
        <v/>
      </c>
      <c r="AF54" s="99">
        <f t="shared" si="16"/>
        <v>0</v>
      </c>
      <c r="AG54" s="99" t="str">
        <f t="shared" si="19"/>
        <v/>
      </c>
      <c r="AH54" s="198" t="str">
        <f t="shared" si="15"/>
        <v/>
      </c>
      <c r="AI54" s="99"/>
    </row>
    <row r="55" spans="1:35" x14ac:dyDescent="0.4">
      <c r="A55" s="99">
        <v>69</v>
      </c>
      <c r="B55" s="99" t="str">
        <f>IF(変更申込み!$BD33&lt;&gt;"",INDEX(変更申込み!$AO$15:$AR$54,変更申込み!$BD33*2-1,1),"")</f>
        <v/>
      </c>
      <c r="C55" s="99" t="str">
        <f>IF($B55&lt;&gt;"",INDEX(変更申込み!$AO$15:$AR$54,変更申込み!$BD33*2-1,2),"")</f>
        <v/>
      </c>
      <c r="D55" s="99" t="str">
        <f>IF($B55&lt;&gt;"",INDEX(変更申込み!$AO$15:$AR$54,変更申込み!$BD33*2,1),"")</f>
        <v/>
      </c>
      <c r="E55" s="99" t="str">
        <f>IF($B55&lt;&gt;"",INDEX(変更申込み!$AO$15:$AR$54,変更申込み!$BD33*2,2),"")</f>
        <v/>
      </c>
      <c r="F55" s="99" t="str">
        <f>IF($B55&lt;&gt;"",INDEX(変更申込み!$AO$15:$AR$54,変更申込み!$BD33*2-1,3),"")</f>
        <v/>
      </c>
      <c r="G55" s="99" t="str">
        <f>IF($B55&lt;&gt;"",INDEX(変更申込み!$AO$15:$AR$54,変更申込み!$BD33*2,3),"")</f>
        <v/>
      </c>
      <c r="H55" s="99" t="str">
        <f>IF($B55&lt;&gt;"",INDEX(変更申込み!$AO$15:$AR$54,変更申込み!$BD33*2-1,4),"")</f>
        <v/>
      </c>
      <c r="I55" s="99" t="str">
        <f>IF($B55&lt;&gt;"",INDEX(変更申込み!$AO$15:$AR$54,変更申込み!$BD33*2,4),"")</f>
        <v/>
      </c>
      <c r="J55" s="37" t="str">
        <f>IF(L55&lt;&gt;"",COUNTIF(エントリー!$D$6:$D$85,A55),"")</f>
        <v/>
      </c>
      <c r="K55" s="37"/>
      <c r="L55" s="159" t="str">
        <f t="shared" si="20"/>
        <v/>
      </c>
      <c r="M55" s="140" t="str">
        <f t="shared" si="21"/>
        <v/>
      </c>
      <c r="N55" s="140" t="str">
        <f t="shared" si="22"/>
        <v/>
      </c>
      <c r="O55" s="140">
        <f t="shared" si="23"/>
        <v>69</v>
      </c>
      <c r="P55" s="140">
        <f>IFERROR(VLOOKUP(H55,リスト!$E$10:$G$50,2,FALSE),"")</f>
        <v>1</v>
      </c>
      <c r="Q55" s="140">
        <f>IFERROR(VLOOKUP(H55,リスト!$E$10:$G$50,3,FALSE),"")</f>
        <v>1</v>
      </c>
      <c r="R55" s="140" t="str">
        <f>IFERROR(VLOOKUP(F55,リスト!$B$2:$C$7,2,FALSE),"")</f>
        <v/>
      </c>
      <c r="S55" s="160" t="str">
        <f>IFERROR(VLOOKUP(G55,リスト!$K$2:$L$3,2,FALSE),"")</f>
        <v/>
      </c>
      <c r="U55" s="99">
        <f t="shared" si="24"/>
        <v>69</v>
      </c>
      <c r="V55" s="99" t="str">
        <f t="shared" si="25"/>
        <v/>
      </c>
      <c r="W55" s="99" t="str">
        <f t="shared" si="26"/>
        <v/>
      </c>
      <c r="X55" s="99" t="str">
        <f t="shared" si="27"/>
        <v/>
      </c>
      <c r="Y55" s="99" t="str">
        <f t="shared" si="28"/>
        <v/>
      </c>
      <c r="Z55" s="99" t="str">
        <f t="shared" si="17"/>
        <v/>
      </c>
      <c r="AA55" s="99" t="str">
        <f t="shared" si="18"/>
        <v/>
      </c>
      <c r="AB55" s="99" t="str">
        <f t="shared" si="29"/>
        <v/>
      </c>
      <c r="AC55" s="99" t="str">
        <f t="shared" si="30"/>
        <v/>
      </c>
      <c r="AD55" s="99" t="str">
        <f t="shared" si="31"/>
        <v/>
      </c>
      <c r="AF55" s="99">
        <f t="shared" si="16"/>
        <v>0</v>
      </c>
      <c r="AG55" s="99" t="str">
        <f t="shared" si="19"/>
        <v/>
      </c>
      <c r="AH55" s="198" t="str">
        <f t="shared" si="15"/>
        <v/>
      </c>
      <c r="AI55" s="99"/>
    </row>
    <row r="56" spans="1:35" x14ac:dyDescent="0.4">
      <c r="A56" s="99">
        <v>70</v>
      </c>
      <c r="B56" s="99" t="str">
        <f>IF(変更申込み!$BD34&lt;&gt;"",INDEX(変更申込み!$AO$15:$AR$54,変更申込み!$BD34*2-1,1),"")</f>
        <v/>
      </c>
      <c r="C56" s="99" t="str">
        <f>IF($B56&lt;&gt;"",INDEX(変更申込み!$AO$15:$AR$54,変更申込み!$BD34*2-1,2),"")</f>
        <v/>
      </c>
      <c r="D56" s="99" t="str">
        <f>IF($B56&lt;&gt;"",INDEX(変更申込み!$AO$15:$AR$54,変更申込み!$BD34*2,1),"")</f>
        <v/>
      </c>
      <c r="E56" s="99" t="str">
        <f>IF($B56&lt;&gt;"",INDEX(変更申込み!$AO$15:$AR$54,変更申込み!$BD34*2,2),"")</f>
        <v/>
      </c>
      <c r="F56" s="99" t="str">
        <f>IF($B56&lt;&gt;"",INDEX(変更申込み!$AO$15:$AR$54,変更申込み!$BD34*2-1,3),"")</f>
        <v/>
      </c>
      <c r="G56" s="99" t="str">
        <f>IF($B56&lt;&gt;"",INDEX(変更申込み!$AO$15:$AR$54,変更申込み!$BD34*2,3),"")</f>
        <v/>
      </c>
      <c r="H56" s="99" t="str">
        <f>IF($B56&lt;&gt;"",INDEX(変更申込み!$AO$15:$AR$54,変更申込み!$BD34*2-1,4),"")</f>
        <v/>
      </c>
      <c r="I56" s="99" t="str">
        <f>IF($B56&lt;&gt;"",INDEX(変更申込み!$AO$15:$AR$54,変更申込み!$BD34*2,4),"")</f>
        <v/>
      </c>
      <c r="J56" s="37" t="str">
        <f>IF(L56&lt;&gt;"",COUNTIF(エントリー!$D$6:$D$85,A56),"")</f>
        <v/>
      </c>
      <c r="K56" s="37"/>
      <c r="L56" s="125" t="str">
        <f t="shared" si="20"/>
        <v/>
      </c>
      <c r="M56" s="12" t="str">
        <f t="shared" si="21"/>
        <v/>
      </c>
      <c r="N56" s="12" t="str">
        <f t="shared" si="22"/>
        <v/>
      </c>
      <c r="O56" s="12">
        <f t="shared" si="23"/>
        <v>70</v>
      </c>
      <c r="P56" s="12">
        <f>IFERROR(VLOOKUP(H56,リスト!$E$10:$G$50,2,FALSE),"")</f>
        <v>1</v>
      </c>
      <c r="Q56" s="12">
        <f>IFERROR(VLOOKUP(H56,リスト!$E$10:$G$50,3,FALSE),"")</f>
        <v>1</v>
      </c>
      <c r="R56" s="12" t="str">
        <f>IFERROR(VLOOKUP(F56,リスト!$B$2:$C$7,2,FALSE),"")</f>
        <v/>
      </c>
      <c r="S56" s="126" t="str">
        <f>IFERROR(VLOOKUP(G56,リスト!$K$2:$L$3,2,FALSE),"")</f>
        <v/>
      </c>
      <c r="U56" s="99">
        <f t="shared" si="24"/>
        <v>70</v>
      </c>
      <c r="V56" s="99" t="str">
        <f t="shared" si="25"/>
        <v/>
      </c>
      <c r="W56" s="99" t="str">
        <f t="shared" si="26"/>
        <v/>
      </c>
      <c r="X56" s="99" t="str">
        <f t="shared" si="27"/>
        <v/>
      </c>
      <c r="Y56" s="99" t="str">
        <f t="shared" si="28"/>
        <v/>
      </c>
      <c r="Z56" s="99" t="str">
        <f t="shared" si="17"/>
        <v/>
      </c>
      <c r="AA56" s="99" t="str">
        <f t="shared" si="18"/>
        <v/>
      </c>
      <c r="AB56" s="99" t="str">
        <f t="shared" si="29"/>
        <v/>
      </c>
      <c r="AC56" s="99" t="str">
        <f t="shared" si="30"/>
        <v/>
      </c>
      <c r="AD56" s="99" t="str">
        <f t="shared" si="31"/>
        <v/>
      </c>
      <c r="AF56" s="99">
        <f>IF(L56&lt;&gt;"",AF55+1,AF55)</f>
        <v>0</v>
      </c>
      <c r="AG56" s="99" t="str">
        <f t="shared" si="19"/>
        <v/>
      </c>
      <c r="AH56" s="198" t="str">
        <f t="shared" si="15"/>
        <v/>
      </c>
      <c r="AI56" s="99"/>
    </row>
  </sheetData>
  <sheetProtection algorithmName="SHA-512" hashValue="vDAFFPYLZMtbp4bhsfF6VmDhjjn4++5+oJYW9daWLfS5oAR0QBZ8LfOIPM3SS/VXs4vSKSjYOEGi0NePYa28wg==" saltValue="MYlOvL2xFCHB2EPdakS3dg==" spinCount="100000" sheet="1" objects="1" scenarios="1"/>
  <mergeCells count="10">
    <mergeCell ref="I5:I6"/>
    <mergeCell ref="A5:A6"/>
    <mergeCell ref="A1:I1"/>
    <mergeCell ref="A3:E3"/>
    <mergeCell ref="G5:G6"/>
    <mergeCell ref="A2:I2"/>
    <mergeCell ref="B5:C5"/>
    <mergeCell ref="D5:E5"/>
    <mergeCell ref="F5:F6"/>
    <mergeCell ref="H5:H6"/>
  </mergeCells>
  <phoneticPr fontId="4"/>
  <printOptions horizontalCentered="1"/>
  <pageMargins left="0.70866141732283472" right="0.70866141732283472" top="0.47244094488188981" bottom="0.47244094488188981" header="0.31496062992125984" footer="0.31496062992125984"/>
  <pageSetup paperSize="9" scale="77"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8ED4A8C3-E32D-4715-87B9-10F3CDE58099}">
          <x14:formula1>
            <xm:f>リスト!$K$2:$K$3</xm:f>
          </x14:formula1>
          <xm:sqref>G7:G31</xm:sqref>
        </x14:dataValidation>
        <x14:dataValidation type="list" allowBlank="1" showInputMessage="1" showErrorMessage="1" xr:uid="{2AB9472B-F241-4908-A1C6-0FFA884912DE}">
          <x14:formula1>
            <xm:f>リスト!$B$2:$B$7</xm:f>
          </x14:formula1>
          <xm:sqref>F7:F31</xm:sqref>
        </x14:dataValidation>
        <x14:dataValidation type="list" allowBlank="1" showInputMessage="1" showErrorMessage="1" xr:uid="{B3DE4839-DACC-4E08-99F4-5A2012E3D088}">
          <x14:formula1>
            <xm:f>リスト!$E$10:$E$50</xm:f>
          </x14:formula1>
          <xm:sqref>H7:H31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351DF-EE9D-41F6-8902-D982A79CC63E}">
  <sheetPr codeName="Sheet7">
    <tabColor rgb="FF00B0F0"/>
    <pageSetUpPr fitToPage="1"/>
  </sheetPr>
  <dimension ref="A1:Q54"/>
  <sheetViews>
    <sheetView view="pageBreakPreview" zoomScaleNormal="100" zoomScaleSheetLayoutView="100" workbookViewId="0">
      <selection activeCell="B8" sqref="B8"/>
    </sheetView>
  </sheetViews>
  <sheetFormatPr defaultRowHeight="18.75" x14ac:dyDescent="0.4"/>
  <cols>
    <col min="1" max="1" width="4.5" bestFit="1" customWidth="1"/>
    <col min="2" max="2" width="49.75" customWidth="1"/>
    <col min="3" max="3" width="48.75" customWidth="1"/>
    <col min="4" max="4" width="23.375" customWidth="1"/>
    <col min="6" max="6" width="11" bestFit="1" customWidth="1"/>
    <col min="7" max="7" width="7.125" hidden="1" customWidth="1"/>
    <col min="8" max="8" width="11" hidden="1" customWidth="1"/>
    <col min="9" max="9" width="7.125" hidden="1" customWidth="1"/>
    <col min="10" max="15" width="9" hidden="1" customWidth="1"/>
    <col min="16" max="16" width="30.625" hidden="1" customWidth="1"/>
    <col min="17" max="17" width="9" hidden="1" customWidth="1"/>
  </cols>
  <sheetData>
    <row r="1" spans="1:16" ht="24" x14ac:dyDescent="0.5">
      <c r="A1" s="339" t="str">
        <f>お知らせ・記入要領!$A$1</f>
        <v>第40回 キャロットステークス 申込書</v>
      </c>
      <c r="B1" s="363"/>
      <c r="C1" s="363"/>
      <c r="D1" s="363"/>
      <c r="E1" s="363"/>
      <c r="F1" s="30"/>
      <c r="G1" s="30"/>
    </row>
    <row r="2" spans="1:16" ht="19.5" x14ac:dyDescent="0.4">
      <c r="A2" s="341" t="s">
        <v>295</v>
      </c>
      <c r="B2" s="342"/>
      <c r="C2" s="342"/>
      <c r="D2" s="342"/>
      <c r="E2" s="342"/>
      <c r="F2" s="30"/>
      <c r="G2" s="30"/>
    </row>
    <row r="3" spans="1:16" ht="15.75" customHeight="1" x14ac:dyDescent="0.4">
      <c r="A3" s="30"/>
      <c r="B3" s="30"/>
      <c r="C3" s="30"/>
      <c r="D3" s="30"/>
      <c r="E3" s="30"/>
      <c r="F3" s="158" t="s">
        <v>315</v>
      </c>
      <c r="G3" s="30"/>
    </row>
    <row r="4" spans="1:16" ht="24" customHeight="1" x14ac:dyDescent="0.4">
      <c r="A4" s="375" t="str">
        <f>"団体名：" &amp; 団体登録!B6</f>
        <v>団体名：</v>
      </c>
      <c r="B4" s="376"/>
      <c r="C4" s="116" t="s">
        <v>206</v>
      </c>
      <c r="D4" s="79" t="str">
        <f>IF(団体登録!$J$3&lt;&gt;"",団体登録!$J$3,"")</f>
        <v/>
      </c>
      <c r="F4" s="99">
        <f>SUMPRODUCT((B8:B32&lt;&gt;"")*1)</f>
        <v>0</v>
      </c>
    </row>
    <row r="5" spans="1:16" ht="6" customHeight="1" thickBot="1" x14ac:dyDescent="0.45">
      <c r="A5" s="32"/>
    </row>
    <row r="6" spans="1:16" x14ac:dyDescent="0.4">
      <c r="A6" s="374" t="s">
        <v>36</v>
      </c>
      <c r="B6" s="369" t="s">
        <v>46</v>
      </c>
      <c r="C6" s="369" t="s">
        <v>45</v>
      </c>
      <c r="D6" s="359" t="s">
        <v>65</v>
      </c>
      <c r="E6" s="372" t="s">
        <v>59</v>
      </c>
      <c r="G6" s="127" t="s">
        <v>327</v>
      </c>
      <c r="I6" s="99" t="s">
        <v>174</v>
      </c>
      <c r="J6" s="99"/>
      <c r="K6" s="99"/>
      <c r="L6" s="99"/>
      <c r="N6" s="99" t="s">
        <v>326</v>
      </c>
      <c r="O6" s="99" t="s">
        <v>293</v>
      </c>
      <c r="P6" s="99" t="str">
        <f>ADDRESS(ROW(馬匹登録!$P$8),COLUMN(馬匹登録!$P$8),1,1,"馬匹登録") &amp;":"&amp;ADDRESS(ROW(馬匹登録!$P$8)+馬匹登録!$P$7,COLUMN(馬匹登録!$P$8),1,1)</f>
        <v>馬匹登録!$P$8:$P$8</v>
      </c>
    </row>
    <row r="7" spans="1:16" x14ac:dyDescent="0.4">
      <c r="A7" s="362"/>
      <c r="B7" s="370"/>
      <c r="C7" s="370"/>
      <c r="D7" s="360"/>
      <c r="E7" s="373"/>
      <c r="G7" s="176"/>
      <c r="I7" s="99" t="s">
        <v>163</v>
      </c>
      <c r="J7" s="99" t="s">
        <v>175</v>
      </c>
      <c r="K7" s="99" t="s">
        <v>176</v>
      </c>
      <c r="L7" s="99" t="s">
        <v>172</v>
      </c>
      <c r="N7" s="99"/>
      <c r="O7" s="99"/>
      <c r="P7" s="99">
        <f>SUMPRODUCT((選手登録!$AH$7:$AH$46&lt;&gt;"")*1)</f>
        <v>0</v>
      </c>
    </row>
    <row r="8" spans="1:16" ht="21.95" customHeight="1" x14ac:dyDescent="0.4">
      <c r="A8" s="76">
        <v>1</v>
      </c>
      <c r="B8" s="147"/>
      <c r="C8" s="147"/>
      <c r="D8" s="148"/>
      <c r="E8" s="117" t="str">
        <f>IF(B8&lt;&gt;"",COUNTIF(エントリー!$E$6:$E$85,A8),"")</f>
        <v/>
      </c>
      <c r="G8" s="176">
        <f>A8</f>
        <v>1</v>
      </c>
      <c r="I8" s="99">
        <f>A8</f>
        <v>1</v>
      </c>
      <c r="J8" s="99" t="str">
        <f>IF(B8&lt;&gt;"",B8,"")</f>
        <v/>
      </c>
      <c r="K8" s="99" t="str">
        <f>IF(C8&lt;&gt;"",C8,"")</f>
        <v/>
      </c>
      <c r="L8" s="99" t="str">
        <f>IF(D8&lt;&gt;"",D8,"")</f>
        <v/>
      </c>
      <c r="N8" s="99">
        <f>IF(J8&lt;&gt;"",1,0)</f>
        <v>0</v>
      </c>
      <c r="O8" s="99">
        <f>B8</f>
        <v>0</v>
      </c>
      <c r="P8" s="198" t="str">
        <f>IFERROR(VLOOKUP(ROW(P8)-ROW($N$8)+1,$N$8:$O$54,2,FALSE),"")</f>
        <v/>
      </c>
    </row>
    <row r="9" spans="1:16" ht="21.95" customHeight="1" x14ac:dyDescent="0.4">
      <c r="A9" s="76">
        <v>2</v>
      </c>
      <c r="B9" s="147"/>
      <c r="C9" s="147"/>
      <c r="D9" s="148"/>
      <c r="E9" s="117" t="str">
        <f>IF(B9&lt;&gt;"",COUNTIF(エントリー!$E$6:$E$85,A9),"")</f>
        <v/>
      </c>
      <c r="G9" s="176">
        <f t="shared" ref="G9:G30" si="0">A9</f>
        <v>2</v>
      </c>
      <c r="I9" s="99">
        <f t="shared" ref="I9:I30" si="1">A9</f>
        <v>2</v>
      </c>
      <c r="J9" s="99" t="str">
        <f t="shared" ref="J9" si="2">IF(B9&lt;&gt;"",B9,"")</f>
        <v/>
      </c>
      <c r="K9" s="99" t="str">
        <f t="shared" ref="K9" si="3">IF(C9&lt;&gt;"",C9,"")</f>
        <v/>
      </c>
      <c r="L9" s="99" t="str">
        <f t="shared" ref="L9" si="4">IF(D9&lt;&gt;"",D9,"")</f>
        <v/>
      </c>
      <c r="N9" s="99">
        <f>IF(J9&lt;&gt;"",N8+1,N8)</f>
        <v>0</v>
      </c>
      <c r="O9" s="99">
        <f t="shared" ref="O9:O34" si="5">B9</f>
        <v>0</v>
      </c>
      <c r="P9" s="198" t="str">
        <f t="shared" ref="P9:P54" si="6">IFERROR(VLOOKUP(ROW(P9)-ROW($N$8)+1,$N$8:$O$54,2,FALSE),"")</f>
        <v/>
      </c>
    </row>
    <row r="10" spans="1:16" ht="21.95" customHeight="1" x14ac:dyDescent="0.4">
      <c r="A10" s="76">
        <v>3</v>
      </c>
      <c r="B10" s="147"/>
      <c r="C10" s="147"/>
      <c r="D10" s="148"/>
      <c r="E10" s="117" t="str">
        <f>IF(B10&lt;&gt;"",COUNTIF(エントリー!$E$6:$E$85,A10),"")</f>
        <v/>
      </c>
      <c r="G10" s="176">
        <f t="shared" si="0"/>
        <v>3</v>
      </c>
      <c r="I10" s="99">
        <f t="shared" si="1"/>
        <v>3</v>
      </c>
      <c r="J10" s="99" t="str">
        <f t="shared" ref="J10:J44" si="7">IF(B10&lt;&gt;"",B10,"")</f>
        <v/>
      </c>
      <c r="K10" s="99" t="str">
        <f t="shared" ref="K10:K44" si="8">IF(C10&lt;&gt;"",C10,"")</f>
        <v/>
      </c>
      <c r="L10" s="99" t="str">
        <f t="shared" ref="L10:L44" si="9">IF(D10&lt;&gt;"",D10,"")</f>
        <v/>
      </c>
      <c r="N10" s="99">
        <f t="shared" ref="N10:N54" si="10">IF(J10&lt;&gt;"",N9+1,N9)</f>
        <v>0</v>
      </c>
      <c r="O10" s="99">
        <f t="shared" si="5"/>
        <v>0</v>
      </c>
      <c r="P10" s="198" t="str">
        <f t="shared" si="6"/>
        <v/>
      </c>
    </row>
    <row r="11" spans="1:16" ht="21.95" customHeight="1" x14ac:dyDescent="0.4">
      <c r="A11" s="76">
        <v>4</v>
      </c>
      <c r="B11" s="147"/>
      <c r="C11" s="147"/>
      <c r="D11" s="148"/>
      <c r="E11" s="117" t="str">
        <f>IF(B11&lt;&gt;"",COUNTIF(エントリー!$E$6:$E$85,A11),"")</f>
        <v/>
      </c>
      <c r="G11" s="176">
        <f t="shared" si="0"/>
        <v>4</v>
      </c>
      <c r="I11" s="99">
        <f t="shared" si="1"/>
        <v>4</v>
      </c>
      <c r="J11" s="99" t="str">
        <f t="shared" si="7"/>
        <v/>
      </c>
      <c r="K11" s="99" t="str">
        <f t="shared" si="8"/>
        <v/>
      </c>
      <c r="L11" s="99" t="str">
        <f t="shared" si="9"/>
        <v/>
      </c>
      <c r="N11" s="99">
        <f t="shared" si="10"/>
        <v>0</v>
      </c>
      <c r="O11" s="99">
        <f t="shared" si="5"/>
        <v>0</v>
      </c>
      <c r="P11" s="198" t="str">
        <f t="shared" si="6"/>
        <v/>
      </c>
    </row>
    <row r="12" spans="1:16" ht="21.95" customHeight="1" x14ac:dyDescent="0.4">
      <c r="A12" s="76">
        <v>5</v>
      </c>
      <c r="B12" s="147"/>
      <c r="C12" s="147"/>
      <c r="D12" s="148"/>
      <c r="E12" s="117" t="str">
        <f>IF(B12&lt;&gt;"",COUNTIF(エントリー!$E$6:$E$85,A12),"")</f>
        <v/>
      </c>
      <c r="G12" s="176">
        <f t="shared" si="0"/>
        <v>5</v>
      </c>
      <c r="I12" s="99">
        <f t="shared" si="1"/>
        <v>5</v>
      </c>
      <c r="J12" s="99" t="str">
        <f t="shared" si="7"/>
        <v/>
      </c>
      <c r="K12" s="99" t="str">
        <f t="shared" si="8"/>
        <v/>
      </c>
      <c r="L12" s="99" t="str">
        <f t="shared" si="9"/>
        <v/>
      </c>
      <c r="N12" s="99">
        <f t="shared" si="10"/>
        <v>0</v>
      </c>
      <c r="O12" s="99">
        <f t="shared" si="5"/>
        <v>0</v>
      </c>
      <c r="P12" s="198" t="str">
        <f t="shared" si="6"/>
        <v/>
      </c>
    </row>
    <row r="13" spans="1:16" ht="21.95" customHeight="1" x14ac:dyDescent="0.4">
      <c r="A13" s="76">
        <v>6</v>
      </c>
      <c r="B13" s="147"/>
      <c r="C13" s="147"/>
      <c r="D13" s="148"/>
      <c r="E13" s="117" t="str">
        <f>IF(B13&lt;&gt;"",COUNTIF(エントリー!$E$6:$E$85,A13),"")</f>
        <v/>
      </c>
      <c r="G13" s="176">
        <f t="shared" si="0"/>
        <v>6</v>
      </c>
      <c r="I13" s="99">
        <f t="shared" si="1"/>
        <v>6</v>
      </c>
      <c r="J13" s="99" t="str">
        <f t="shared" si="7"/>
        <v/>
      </c>
      <c r="K13" s="99" t="str">
        <f t="shared" si="8"/>
        <v/>
      </c>
      <c r="L13" s="99" t="str">
        <f t="shared" si="9"/>
        <v/>
      </c>
      <c r="N13" s="99">
        <f t="shared" si="10"/>
        <v>0</v>
      </c>
      <c r="O13" s="99">
        <f t="shared" si="5"/>
        <v>0</v>
      </c>
      <c r="P13" s="198" t="str">
        <f t="shared" si="6"/>
        <v/>
      </c>
    </row>
    <row r="14" spans="1:16" ht="21.95" customHeight="1" x14ac:dyDescent="0.4">
      <c r="A14" s="76">
        <v>7</v>
      </c>
      <c r="B14" s="147"/>
      <c r="C14" s="147"/>
      <c r="D14" s="148"/>
      <c r="E14" s="117" t="str">
        <f>IF(B14&lt;&gt;"",COUNTIF(エントリー!$E$6:$E$85,A14),"")</f>
        <v/>
      </c>
      <c r="G14" s="176">
        <f t="shared" si="0"/>
        <v>7</v>
      </c>
      <c r="I14" s="99">
        <f t="shared" si="1"/>
        <v>7</v>
      </c>
      <c r="J14" s="99" t="str">
        <f t="shared" si="7"/>
        <v/>
      </c>
      <c r="K14" s="99" t="str">
        <f t="shared" si="8"/>
        <v/>
      </c>
      <c r="L14" s="99" t="str">
        <f t="shared" si="9"/>
        <v/>
      </c>
      <c r="N14" s="99">
        <f t="shared" si="10"/>
        <v>0</v>
      </c>
      <c r="O14" s="99">
        <f t="shared" si="5"/>
        <v>0</v>
      </c>
      <c r="P14" s="198" t="str">
        <f t="shared" si="6"/>
        <v/>
      </c>
    </row>
    <row r="15" spans="1:16" ht="21.95" customHeight="1" x14ac:dyDescent="0.4">
      <c r="A15" s="76">
        <v>8</v>
      </c>
      <c r="B15" s="147"/>
      <c r="C15" s="147"/>
      <c r="D15" s="148"/>
      <c r="E15" s="117" t="str">
        <f>IF(B15&lt;&gt;"",COUNTIF(エントリー!$E$6:$E$85,A15),"")</f>
        <v/>
      </c>
      <c r="G15" s="176">
        <f t="shared" si="0"/>
        <v>8</v>
      </c>
      <c r="I15" s="99">
        <f t="shared" si="1"/>
        <v>8</v>
      </c>
      <c r="J15" s="99" t="str">
        <f t="shared" si="7"/>
        <v/>
      </c>
      <c r="K15" s="99" t="str">
        <f t="shared" si="8"/>
        <v/>
      </c>
      <c r="L15" s="99" t="str">
        <f t="shared" si="9"/>
        <v/>
      </c>
      <c r="N15" s="99">
        <f t="shared" si="10"/>
        <v>0</v>
      </c>
      <c r="O15" s="99">
        <f t="shared" si="5"/>
        <v>0</v>
      </c>
      <c r="P15" s="198" t="str">
        <f t="shared" si="6"/>
        <v/>
      </c>
    </row>
    <row r="16" spans="1:16" ht="21.95" customHeight="1" x14ac:dyDescent="0.4">
      <c r="A16" s="76">
        <v>9</v>
      </c>
      <c r="B16" s="147"/>
      <c r="C16" s="147"/>
      <c r="D16" s="148"/>
      <c r="E16" s="117" t="str">
        <f>IF(B16&lt;&gt;"",COUNTIF(エントリー!$E$6:$E$85,A16),"")</f>
        <v/>
      </c>
      <c r="G16" s="176">
        <f t="shared" si="0"/>
        <v>9</v>
      </c>
      <c r="I16" s="99">
        <f t="shared" si="1"/>
        <v>9</v>
      </c>
      <c r="J16" s="99" t="str">
        <f t="shared" si="7"/>
        <v/>
      </c>
      <c r="K16" s="99" t="str">
        <f t="shared" si="8"/>
        <v/>
      </c>
      <c r="L16" s="99" t="str">
        <f t="shared" si="9"/>
        <v/>
      </c>
      <c r="N16" s="99">
        <f t="shared" si="10"/>
        <v>0</v>
      </c>
      <c r="O16" s="99">
        <f t="shared" si="5"/>
        <v>0</v>
      </c>
      <c r="P16" s="198" t="str">
        <f t="shared" si="6"/>
        <v/>
      </c>
    </row>
    <row r="17" spans="1:16" ht="21.95" customHeight="1" x14ac:dyDescent="0.4">
      <c r="A17" s="76">
        <v>10</v>
      </c>
      <c r="B17" s="147"/>
      <c r="C17" s="147"/>
      <c r="D17" s="148"/>
      <c r="E17" s="117" t="str">
        <f>IF(B17&lt;&gt;"",COUNTIF(エントリー!$E$6:$E$85,A17),"")</f>
        <v/>
      </c>
      <c r="G17" s="176">
        <f t="shared" si="0"/>
        <v>10</v>
      </c>
      <c r="I17" s="99">
        <f t="shared" si="1"/>
        <v>10</v>
      </c>
      <c r="J17" s="99" t="str">
        <f t="shared" si="7"/>
        <v/>
      </c>
      <c r="K17" s="99" t="str">
        <f t="shared" si="8"/>
        <v/>
      </c>
      <c r="L17" s="99" t="str">
        <f t="shared" si="9"/>
        <v/>
      </c>
      <c r="N17" s="99">
        <f t="shared" si="10"/>
        <v>0</v>
      </c>
      <c r="O17" s="99">
        <f t="shared" si="5"/>
        <v>0</v>
      </c>
      <c r="P17" s="198" t="str">
        <f t="shared" si="6"/>
        <v/>
      </c>
    </row>
    <row r="18" spans="1:16" ht="21.95" customHeight="1" x14ac:dyDescent="0.4">
      <c r="A18" s="76">
        <v>11</v>
      </c>
      <c r="B18" s="147"/>
      <c r="C18" s="147"/>
      <c r="D18" s="148"/>
      <c r="E18" s="117" t="str">
        <f>IF(B18&lt;&gt;"",COUNTIF(エントリー!$E$6:$E$85,A18),"")</f>
        <v/>
      </c>
      <c r="G18" s="176">
        <f t="shared" si="0"/>
        <v>11</v>
      </c>
      <c r="I18" s="99">
        <f t="shared" si="1"/>
        <v>11</v>
      </c>
      <c r="J18" s="99" t="str">
        <f t="shared" si="7"/>
        <v/>
      </c>
      <c r="K18" s="99" t="str">
        <f t="shared" si="8"/>
        <v/>
      </c>
      <c r="L18" s="99" t="str">
        <f t="shared" si="9"/>
        <v/>
      </c>
      <c r="N18" s="99">
        <f t="shared" si="10"/>
        <v>0</v>
      </c>
      <c r="O18" s="99">
        <f t="shared" si="5"/>
        <v>0</v>
      </c>
      <c r="P18" s="198" t="str">
        <f t="shared" si="6"/>
        <v/>
      </c>
    </row>
    <row r="19" spans="1:16" ht="21.95" customHeight="1" x14ac:dyDescent="0.4">
      <c r="A19" s="76">
        <v>12</v>
      </c>
      <c r="B19" s="147"/>
      <c r="C19" s="147"/>
      <c r="D19" s="148"/>
      <c r="E19" s="117" t="str">
        <f>IF(B19&lt;&gt;"",COUNTIF(エントリー!$E$6:$E$85,A19),"")</f>
        <v/>
      </c>
      <c r="G19" s="176">
        <f t="shared" si="0"/>
        <v>12</v>
      </c>
      <c r="I19" s="99">
        <f t="shared" si="1"/>
        <v>12</v>
      </c>
      <c r="J19" s="99" t="str">
        <f t="shared" si="7"/>
        <v/>
      </c>
      <c r="K19" s="99" t="str">
        <f t="shared" si="8"/>
        <v/>
      </c>
      <c r="L19" s="99" t="str">
        <f t="shared" si="9"/>
        <v/>
      </c>
      <c r="N19" s="99">
        <f t="shared" si="10"/>
        <v>0</v>
      </c>
      <c r="O19" s="99">
        <f t="shared" si="5"/>
        <v>0</v>
      </c>
      <c r="P19" s="198" t="str">
        <f t="shared" si="6"/>
        <v/>
      </c>
    </row>
    <row r="20" spans="1:16" ht="21.95" customHeight="1" x14ac:dyDescent="0.4">
      <c r="A20" s="76">
        <v>13</v>
      </c>
      <c r="B20" s="147"/>
      <c r="C20" s="147"/>
      <c r="D20" s="148"/>
      <c r="E20" s="117" t="str">
        <f>IF(B20&lt;&gt;"",COUNTIF(エントリー!$E$6:$E$85,A20),"")</f>
        <v/>
      </c>
      <c r="G20" s="176">
        <f t="shared" si="0"/>
        <v>13</v>
      </c>
      <c r="I20" s="99">
        <f t="shared" si="1"/>
        <v>13</v>
      </c>
      <c r="J20" s="99" t="str">
        <f t="shared" si="7"/>
        <v/>
      </c>
      <c r="K20" s="99" t="str">
        <f t="shared" si="8"/>
        <v/>
      </c>
      <c r="L20" s="99" t="str">
        <f t="shared" si="9"/>
        <v/>
      </c>
      <c r="N20" s="99">
        <f t="shared" si="10"/>
        <v>0</v>
      </c>
      <c r="O20" s="99">
        <f t="shared" si="5"/>
        <v>0</v>
      </c>
      <c r="P20" s="198" t="str">
        <f t="shared" si="6"/>
        <v/>
      </c>
    </row>
    <row r="21" spans="1:16" ht="21.95" customHeight="1" x14ac:dyDescent="0.4">
      <c r="A21" s="76">
        <v>14</v>
      </c>
      <c r="B21" s="147"/>
      <c r="C21" s="147"/>
      <c r="D21" s="148"/>
      <c r="E21" s="117" t="str">
        <f>IF(B21&lt;&gt;"",COUNTIF(エントリー!$E$6:$E$85,A21),"")</f>
        <v/>
      </c>
      <c r="G21" s="176">
        <f t="shared" si="0"/>
        <v>14</v>
      </c>
      <c r="I21" s="99">
        <f t="shared" si="1"/>
        <v>14</v>
      </c>
      <c r="J21" s="99" t="str">
        <f t="shared" si="7"/>
        <v/>
      </c>
      <c r="K21" s="99" t="str">
        <f t="shared" si="8"/>
        <v/>
      </c>
      <c r="L21" s="99" t="str">
        <f t="shared" si="9"/>
        <v/>
      </c>
      <c r="N21" s="99">
        <f t="shared" si="10"/>
        <v>0</v>
      </c>
      <c r="O21" s="99">
        <f t="shared" si="5"/>
        <v>0</v>
      </c>
      <c r="P21" s="198" t="str">
        <f t="shared" si="6"/>
        <v/>
      </c>
    </row>
    <row r="22" spans="1:16" ht="21.95" customHeight="1" x14ac:dyDescent="0.4">
      <c r="A22" s="76">
        <v>15</v>
      </c>
      <c r="B22" s="147"/>
      <c r="C22" s="147"/>
      <c r="D22" s="148"/>
      <c r="E22" s="117" t="str">
        <f>IF(B22&lt;&gt;"",COUNTIF(エントリー!$E$6:$E$85,A22),"")</f>
        <v/>
      </c>
      <c r="G22" s="176">
        <f t="shared" si="0"/>
        <v>15</v>
      </c>
      <c r="I22" s="99">
        <f t="shared" si="1"/>
        <v>15</v>
      </c>
      <c r="J22" s="99" t="str">
        <f t="shared" si="7"/>
        <v/>
      </c>
      <c r="K22" s="99" t="str">
        <f t="shared" si="8"/>
        <v/>
      </c>
      <c r="L22" s="99" t="str">
        <f t="shared" si="9"/>
        <v/>
      </c>
      <c r="N22" s="99">
        <f t="shared" si="10"/>
        <v>0</v>
      </c>
      <c r="O22" s="99">
        <f t="shared" si="5"/>
        <v>0</v>
      </c>
      <c r="P22" s="198" t="str">
        <f t="shared" si="6"/>
        <v/>
      </c>
    </row>
    <row r="23" spans="1:16" ht="21.95" customHeight="1" x14ac:dyDescent="0.4">
      <c r="A23" s="76">
        <v>16</v>
      </c>
      <c r="B23" s="147"/>
      <c r="C23" s="147"/>
      <c r="D23" s="148"/>
      <c r="E23" s="117" t="str">
        <f>IF(B23&lt;&gt;"",COUNTIF(エントリー!$E$6:$E$85,A23),"")</f>
        <v/>
      </c>
      <c r="G23" s="176">
        <f t="shared" si="0"/>
        <v>16</v>
      </c>
      <c r="I23" s="99">
        <f t="shared" si="1"/>
        <v>16</v>
      </c>
      <c r="J23" s="99" t="str">
        <f t="shared" si="7"/>
        <v/>
      </c>
      <c r="K23" s="99" t="str">
        <f t="shared" si="8"/>
        <v/>
      </c>
      <c r="L23" s="99" t="str">
        <f t="shared" si="9"/>
        <v/>
      </c>
      <c r="N23" s="99">
        <f t="shared" si="10"/>
        <v>0</v>
      </c>
      <c r="O23" s="99">
        <f t="shared" si="5"/>
        <v>0</v>
      </c>
      <c r="P23" s="198" t="str">
        <f t="shared" si="6"/>
        <v/>
      </c>
    </row>
    <row r="24" spans="1:16" ht="21.95" customHeight="1" x14ac:dyDescent="0.4">
      <c r="A24" s="76">
        <v>17</v>
      </c>
      <c r="B24" s="147"/>
      <c r="C24" s="147"/>
      <c r="D24" s="148"/>
      <c r="E24" s="117" t="str">
        <f>IF(B24&lt;&gt;"",COUNTIF(エントリー!$E$6:$E$85,A24),"")</f>
        <v/>
      </c>
      <c r="G24" s="176">
        <f t="shared" si="0"/>
        <v>17</v>
      </c>
      <c r="I24" s="99">
        <f t="shared" si="1"/>
        <v>17</v>
      </c>
      <c r="J24" s="99" t="str">
        <f t="shared" si="7"/>
        <v/>
      </c>
      <c r="K24" s="99" t="str">
        <f t="shared" si="8"/>
        <v/>
      </c>
      <c r="L24" s="99" t="str">
        <f t="shared" si="9"/>
        <v/>
      </c>
      <c r="N24" s="99">
        <f t="shared" si="10"/>
        <v>0</v>
      </c>
      <c r="O24" s="99">
        <f t="shared" si="5"/>
        <v>0</v>
      </c>
      <c r="P24" s="198" t="str">
        <f t="shared" si="6"/>
        <v/>
      </c>
    </row>
    <row r="25" spans="1:16" ht="21.95" customHeight="1" x14ac:dyDescent="0.4">
      <c r="A25" s="76">
        <v>18</v>
      </c>
      <c r="B25" s="147"/>
      <c r="C25" s="147"/>
      <c r="D25" s="148"/>
      <c r="E25" s="117" t="str">
        <f>IF(B25&lt;&gt;"",COUNTIF(エントリー!$E$6:$E$85,A25),"")</f>
        <v/>
      </c>
      <c r="G25" s="176">
        <f t="shared" si="0"/>
        <v>18</v>
      </c>
      <c r="I25" s="99">
        <f t="shared" si="1"/>
        <v>18</v>
      </c>
      <c r="J25" s="99" t="str">
        <f t="shared" si="7"/>
        <v/>
      </c>
      <c r="K25" s="99" t="str">
        <f t="shared" si="8"/>
        <v/>
      </c>
      <c r="L25" s="99" t="str">
        <f t="shared" si="9"/>
        <v/>
      </c>
      <c r="N25" s="99">
        <f t="shared" si="10"/>
        <v>0</v>
      </c>
      <c r="O25" s="99">
        <f t="shared" si="5"/>
        <v>0</v>
      </c>
      <c r="P25" s="198" t="str">
        <f t="shared" si="6"/>
        <v/>
      </c>
    </row>
    <row r="26" spans="1:16" ht="21.95" customHeight="1" x14ac:dyDescent="0.4">
      <c r="A26" s="76">
        <v>19</v>
      </c>
      <c r="B26" s="147"/>
      <c r="C26" s="147"/>
      <c r="D26" s="148"/>
      <c r="E26" s="117" t="str">
        <f>IF(B26&lt;&gt;"",COUNTIF(エントリー!$E$6:$E$85,A26),"")</f>
        <v/>
      </c>
      <c r="G26" s="176">
        <f t="shared" si="0"/>
        <v>19</v>
      </c>
      <c r="I26" s="99">
        <f t="shared" si="1"/>
        <v>19</v>
      </c>
      <c r="J26" s="99" t="str">
        <f t="shared" si="7"/>
        <v/>
      </c>
      <c r="K26" s="99" t="str">
        <f t="shared" si="8"/>
        <v/>
      </c>
      <c r="L26" s="99" t="str">
        <f t="shared" si="9"/>
        <v/>
      </c>
      <c r="N26" s="99">
        <f t="shared" si="10"/>
        <v>0</v>
      </c>
      <c r="O26" s="99">
        <f t="shared" si="5"/>
        <v>0</v>
      </c>
      <c r="P26" s="198" t="str">
        <f t="shared" si="6"/>
        <v/>
      </c>
    </row>
    <row r="27" spans="1:16" ht="21.95" customHeight="1" x14ac:dyDescent="0.4">
      <c r="A27" s="76">
        <v>20</v>
      </c>
      <c r="B27" s="147"/>
      <c r="C27" s="147"/>
      <c r="D27" s="148"/>
      <c r="E27" s="117" t="str">
        <f>IF(B27&lt;&gt;"",COUNTIF(エントリー!$E$6:$E$85,A27),"")</f>
        <v/>
      </c>
      <c r="G27" s="176">
        <f t="shared" si="0"/>
        <v>20</v>
      </c>
      <c r="I27" s="99">
        <f t="shared" si="1"/>
        <v>20</v>
      </c>
      <c r="J27" s="99" t="str">
        <f t="shared" si="7"/>
        <v/>
      </c>
      <c r="K27" s="99" t="str">
        <f t="shared" si="8"/>
        <v/>
      </c>
      <c r="L27" s="99" t="str">
        <f t="shared" si="9"/>
        <v/>
      </c>
      <c r="N27" s="99">
        <f t="shared" si="10"/>
        <v>0</v>
      </c>
      <c r="O27" s="99">
        <f t="shared" si="5"/>
        <v>0</v>
      </c>
      <c r="P27" s="198" t="str">
        <f t="shared" si="6"/>
        <v/>
      </c>
    </row>
    <row r="28" spans="1:16" ht="21.95" customHeight="1" x14ac:dyDescent="0.4">
      <c r="A28" s="76">
        <v>21</v>
      </c>
      <c r="B28" s="147"/>
      <c r="C28" s="147"/>
      <c r="D28" s="148"/>
      <c r="E28" s="117" t="str">
        <f>IF(B28&lt;&gt;"",COUNTIF(エントリー!$E$6:$E$85,A28),"")</f>
        <v/>
      </c>
      <c r="G28" s="176">
        <f t="shared" si="0"/>
        <v>21</v>
      </c>
      <c r="I28" s="99">
        <f t="shared" si="1"/>
        <v>21</v>
      </c>
      <c r="J28" s="99" t="str">
        <f t="shared" si="7"/>
        <v/>
      </c>
      <c r="K28" s="99" t="str">
        <f t="shared" si="8"/>
        <v/>
      </c>
      <c r="L28" s="99" t="str">
        <f t="shared" si="9"/>
        <v/>
      </c>
      <c r="N28" s="99">
        <f t="shared" si="10"/>
        <v>0</v>
      </c>
      <c r="O28" s="99">
        <f t="shared" si="5"/>
        <v>0</v>
      </c>
      <c r="P28" s="198" t="str">
        <f t="shared" si="6"/>
        <v/>
      </c>
    </row>
    <row r="29" spans="1:16" ht="21.95" customHeight="1" x14ac:dyDescent="0.4">
      <c r="A29" s="76">
        <v>22</v>
      </c>
      <c r="B29" s="147"/>
      <c r="C29" s="147"/>
      <c r="D29" s="148"/>
      <c r="E29" s="117" t="str">
        <f>IF(B29&lt;&gt;"",COUNTIF(エントリー!$E$6:$E$85,A29),"")</f>
        <v/>
      </c>
      <c r="G29" s="176">
        <f t="shared" si="0"/>
        <v>22</v>
      </c>
      <c r="I29" s="99">
        <f t="shared" si="1"/>
        <v>22</v>
      </c>
      <c r="J29" s="99" t="str">
        <f t="shared" si="7"/>
        <v/>
      </c>
      <c r="K29" s="99" t="str">
        <f t="shared" si="8"/>
        <v/>
      </c>
      <c r="L29" s="99" t="str">
        <f t="shared" si="9"/>
        <v/>
      </c>
      <c r="N29" s="99">
        <f t="shared" si="10"/>
        <v>0</v>
      </c>
      <c r="O29" s="99">
        <f t="shared" si="5"/>
        <v>0</v>
      </c>
      <c r="P29" s="198" t="str">
        <f t="shared" si="6"/>
        <v/>
      </c>
    </row>
    <row r="30" spans="1:16" ht="21.95" customHeight="1" x14ac:dyDescent="0.4">
      <c r="A30" s="76">
        <v>23</v>
      </c>
      <c r="B30" s="147"/>
      <c r="C30" s="147"/>
      <c r="D30" s="148"/>
      <c r="E30" s="117" t="str">
        <f>IF(B30&lt;&gt;"",COUNTIF(エントリー!$E$6:$E$85,A30),"")</f>
        <v/>
      </c>
      <c r="G30" s="176">
        <f t="shared" si="0"/>
        <v>23</v>
      </c>
      <c r="I30" s="99">
        <f t="shared" si="1"/>
        <v>23</v>
      </c>
      <c r="J30" s="99" t="str">
        <f t="shared" si="7"/>
        <v/>
      </c>
      <c r="K30" s="99" t="str">
        <f t="shared" si="8"/>
        <v/>
      </c>
      <c r="L30" s="99" t="str">
        <f t="shared" si="9"/>
        <v/>
      </c>
      <c r="N30" s="99">
        <f t="shared" si="10"/>
        <v>0</v>
      </c>
      <c r="O30" s="99">
        <f t="shared" si="5"/>
        <v>0</v>
      </c>
      <c r="P30" s="198" t="str">
        <f t="shared" si="6"/>
        <v/>
      </c>
    </row>
    <row r="31" spans="1:16" x14ac:dyDescent="0.4">
      <c r="A31" s="76">
        <v>24</v>
      </c>
      <c r="B31" s="147"/>
      <c r="C31" s="147"/>
      <c r="D31" s="148"/>
      <c r="E31" s="117" t="str">
        <f>IF(B31&lt;&gt;"",COUNTIF(エントリー!$E$6:$E$85,A31),"")</f>
        <v/>
      </c>
      <c r="G31" s="176">
        <f t="shared" ref="G31:G32" si="11">A31</f>
        <v>24</v>
      </c>
      <c r="I31" s="99">
        <f t="shared" ref="I31:I32" si="12">A31</f>
        <v>24</v>
      </c>
      <c r="J31" s="99" t="str">
        <f t="shared" si="7"/>
        <v/>
      </c>
      <c r="K31" s="99" t="str">
        <f t="shared" si="8"/>
        <v/>
      </c>
      <c r="L31" s="99" t="str">
        <f t="shared" si="9"/>
        <v/>
      </c>
      <c r="N31" s="99">
        <f t="shared" si="10"/>
        <v>0</v>
      </c>
      <c r="O31" s="99">
        <f t="shared" si="5"/>
        <v>0</v>
      </c>
      <c r="P31" s="198" t="str">
        <f t="shared" si="6"/>
        <v/>
      </c>
    </row>
    <row r="32" spans="1:16" ht="19.5" thickBot="1" x14ac:dyDescent="0.45">
      <c r="A32" s="20">
        <v>25</v>
      </c>
      <c r="B32" s="149"/>
      <c r="C32" s="149"/>
      <c r="D32" s="150"/>
      <c r="E32" s="118" t="str">
        <f>IF(B32&lt;&gt;"",COUNTIF(エントリー!$E$6:$E$85,A32),"")</f>
        <v/>
      </c>
      <c r="G32" s="176">
        <f t="shared" si="11"/>
        <v>25</v>
      </c>
      <c r="I32" s="99">
        <f t="shared" si="12"/>
        <v>25</v>
      </c>
      <c r="J32" s="99" t="str">
        <f t="shared" si="7"/>
        <v/>
      </c>
      <c r="K32" s="99" t="str">
        <f t="shared" si="8"/>
        <v/>
      </c>
      <c r="L32" s="99" t="str">
        <f t="shared" si="9"/>
        <v/>
      </c>
      <c r="N32" s="99">
        <f t="shared" si="10"/>
        <v>0</v>
      </c>
      <c r="O32" s="99">
        <f t="shared" si="5"/>
        <v>0</v>
      </c>
      <c r="P32" s="198" t="str">
        <f t="shared" si="6"/>
        <v/>
      </c>
    </row>
    <row r="33" spans="1:16" x14ac:dyDescent="0.4">
      <c r="G33" s="176"/>
      <c r="I33" s="99"/>
      <c r="J33" s="99" t="str">
        <f t="shared" si="7"/>
        <v/>
      </c>
      <c r="K33" s="99" t="str">
        <f t="shared" si="8"/>
        <v/>
      </c>
      <c r="L33" s="99" t="str">
        <f t="shared" si="9"/>
        <v/>
      </c>
      <c r="N33" s="99">
        <f t="shared" si="10"/>
        <v>0</v>
      </c>
      <c r="O33" s="99">
        <f t="shared" si="5"/>
        <v>0</v>
      </c>
      <c r="P33" s="198" t="str">
        <f t="shared" si="6"/>
        <v/>
      </c>
    </row>
    <row r="34" spans="1:16" ht="19.5" thickBot="1" x14ac:dyDescent="0.45">
      <c r="A34" t="s">
        <v>290</v>
      </c>
      <c r="G34" s="176"/>
      <c r="I34" s="99"/>
      <c r="J34" s="99" t="str">
        <f t="shared" si="7"/>
        <v/>
      </c>
      <c r="K34" s="99" t="str">
        <f t="shared" si="8"/>
        <v/>
      </c>
      <c r="L34" s="99" t="str">
        <f t="shared" si="9"/>
        <v/>
      </c>
      <c r="N34" s="99">
        <f t="shared" si="10"/>
        <v>0</v>
      </c>
      <c r="O34" s="99">
        <f t="shared" si="5"/>
        <v>0</v>
      </c>
      <c r="P34" s="198" t="str">
        <f t="shared" si="6"/>
        <v/>
      </c>
    </row>
    <row r="35" spans="1:16" x14ac:dyDescent="0.4">
      <c r="A35" s="177">
        <v>51</v>
      </c>
      <c r="B35" s="178" t="str">
        <f>IF(変更申込み!$BJ15&lt;&gt;"",INDEX(変更申込み!$AR$15:$AS$54,変更申込み!$BJ15*2-1,2),"")</f>
        <v/>
      </c>
      <c r="C35" s="178" t="str">
        <f>IF($B35&lt;&gt;"",INDEX(変更申込み!$AR$15:$AS$54,変更申込み!$BJ15*2,2),"")</f>
        <v/>
      </c>
      <c r="D35" s="179" t="str">
        <f>IF($B35&lt;&gt;"",INDEX(変更申込み!$AR$15:$AS$54,変更申込み!$BJ15*2,1),"")</f>
        <v/>
      </c>
      <c r="E35" s="183" t="str">
        <f>IF(B35&lt;&gt;"",COUNTIF(エントリー!$E$6:$E$85,A35),"")</f>
        <v/>
      </c>
      <c r="G35" s="176">
        <f t="shared" ref="G35:G43" si="13">A35</f>
        <v>51</v>
      </c>
      <c r="I35" s="99">
        <f t="shared" ref="I35:I43" si="14">A35</f>
        <v>51</v>
      </c>
      <c r="J35" s="99" t="str">
        <f t="shared" si="7"/>
        <v/>
      </c>
      <c r="K35" s="99" t="str">
        <f t="shared" si="8"/>
        <v/>
      </c>
      <c r="L35" s="99" t="str">
        <f t="shared" si="9"/>
        <v/>
      </c>
      <c r="N35" s="99">
        <f t="shared" si="10"/>
        <v>0</v>
      </c>
      <c r="O35" s="99" t="str">
        <f t="shared" ref="O35:O54" si="15">B35</f>
        <v/>
      </c>
      <c r="P35" s="198" t="str">
        <f t="shared" si="6"/>
        <v/>
      </c>
    </row>
    <row r="36" spans="1:16" x14ac:dyDescent="0.4">
      <c r="A36" s="180">
        <v>52</v>
      </c>
      <c r="B36" s="99" t="str">
        <f>IF(変更申込み!$BJ16&lt;&gt;"",INDEX(変更申込み!$AR$15:$AS$54,変更申込み!$BJ16*2-1,2),"")</f>
        <v/>
      </c>
      <c r="C36" s="99" t="str">
        <f>IF($B36&lt;&gt;"",INDEX(変更申込み!$AR$15:$AS$54,変更申込み!$BJ16*2,2),"")</f>
        <v/>
      </c>
      <c r="D36" s="181" t="str">
        <f>IF($B36&lt;&gt;"",INDEX(変更申込み!$AR$15:$AS$54,変更申込み!$BJ16*2,1),"")</f>
        <v/>
      </c>
      <c r="E36" s="114" t="str">
        <f>IF(B36&lt;&gt;"",COUNTIF(エントリー!$E$6:$E$85,A36),"")</f>
        <v/>
      </c>
      <c r="G36" s="176">
        <f t="shared" si="13"/>
        <v>52</v>
      </c>
      <c r="I36" s="99">
        <f t="shared" si="14"/>
        <v>52</v>
      </c>
      <c r="J36" s="99" t="str">
        <f t="shared" si="7"/>
        <v/>
      </c>
      <c r="K36" s="99" t="str">
        <f t="shared" si="8"/>
        <v/>
      </c>
      <c r="L36" s="99" t="str">
        <f t="shared" si="9"/>
        <v/>
      </c>
      <c r="N36" s="99">
        <f t="shared" si="10"/>
        <v>0</v>
      </c>
      <c r="O36" s="99" t="str">
        <f t="shared" si="15"/>
        <v/>
      </c>
      <c r="P36" s="198" t="str">
        <f t="shared" si="6"/>
        <v/>
      </c>
    </row>
    <row r="37" spans="1:16" x14ac:dyDescent="0.4">
      <c r="A37" s="180">
        <v>53</v>
      </c>
      <c r="B37" s="99" t="str">
        <f>IF(変更申込み!$BJ17&lt;&gt;"",INDEX(変更申込み!$AR$15:$AS$54,変更申込み!$BJ17*2-1,2),"")</f>
        <v/>
      </c>
      <c r="C37" s="99" t="str">
        <f>IF($B37&lt;&gt;"",INDEX(変更申込み!$AR$15:$AS$54,変更申込み!$BJ17*2,2),"")</f>
        <v/>
      </c>
      <c r="D37" s="181" t="str">
        <f>IF($B37&lt;&gt;"",INDEX(変更申込み!$AR$15:$AS$54,変更申込み!$BJ17*2,1),"")</f>
        <v/>
      </c>
      <c r="E37" s="114" t="str">
        <f>IF(B37&lt;&gt;"",COUNTIF(エントリー!$E$6:$E$85,A37),"")</f>
        <v/>
      </c>
      <c r="G37" s="176">
        <f t="shared" si="13"/>
        <v>53</v>
      </c>
      <c r="I37" s="99">
        <f t="shared" si="14"/>
        <v>53</v>
      </c>
      <c r="J37" s="99" t="str">
        <f t="shared" si="7"/>
        <v/>
      </c>
      <c r="K37" s="99" t="str">
        <f t="shared" si="8"/>
        <v/>
      </c>
      <c r="L37" s="99" t="str">
        <f t="shared" si="9"/>
        <v/>
      </c>
      <c r="N37" s="99">
        <f t="shared" si="10"/>
        <v>0</v>
      </c>
      <c r="O37" s="99" t="str">
        <f t="shared" si="15"/>
        <v/>
      </c>
      <c r="P37" s="198" t="str">
        <f t="shared" si="6"/>
        <v/>
      </c>
    </row>
    <row r="38" spans="1:16" x14ac:dyDescent="0.4">
      <c r="A38" s="180">
        <v>54</v>
      </c>
      <c r="B38" s="99" t="str">
        <f>IF(変更申込み!$BJ18&lt;&gt;"",INDEX(変更申込み!$AR$15:$AS$54,変更申込み!$BJ18*2-1,2),"")</f>
        <v/>
      </c>
      <c r="C38" s="99" t="str">
        <f>IF($B38&lt;&gt;"",INDEX(変更申込み!$AR$15:$AS$54,変更申込み!$BJ18*2,2),"")</f>
        <v/>
      </c>
      <c r="D38" s="181" t="str">
        <f>IF($B38&lt;&gt;"",INDEX(変更申込み!$AR$15:$AS$54,変更申込み!$BJ18*2,1),"")</f>
        <v/>
      </c>
      <c r="E38" s="114" t="str">
        <f>IF(B38&lt;&gt;"",COUNTIF(エントリー!$E$6:$E$85,A38),"")</f>
        <v/>
      </c>
      <c r="G38" s="176">
        <f t="shared" si="13"/>
        <v>54</v>
      </c>
      <c r="I38" s="99">
        <f t="shared" si="14"/>
        <v>54</v>
      </c>
      <c r="J38" s="99" t="str">
        <f t="shared" si="7"/>
        <v/>
      </c>
      <c r="K38" s="99" t="str">
        <f t="shared" si="8"/>
        <v/>
      </c>
      <c r="L38" s="99" t="str">
        <f t="shared" si="9"/>
        <v/>
      </c>
      <c r="N38" s="99">
        <f t="shared" si="10"/>
        <v>0</v>
      </c>
      <c r="O38" s="99" t="str">
        <f t="shared" si="15"/>
        <v/>
      </c>
      <c r="P38" s="198" t="str">
        <f t="shared" si="6"/>
        <v/>
      </c>
    </row>
    <row r="39" spans="1:16" x14ac:dyDescent="0.4">
      <c r="A39" s="180">
        <v>55</v>
      </c>
      <c r="B39" s="99" t="str">
        <f>IF(変更申込み!$BJ19&lt;&gt;"",INDEX(変更申込み!$AR$15:$AS$54,変更申込み!$BJ19*2-1,2),"")</f>
        <v/>
      </c>
      <c r="C39" s="99" t="str">
        <f>IF($B39&lt;&gt;"",INDEX(変更申込み!$AR$15:$AS$54,変更申込み!$BJ19*2,2),"")</f>
        <v/>
      </c>
      <c r="D39" s="181" t="str">
        <f>IF($B39&lt;&gt;"",INDEX(変更申込み!$AR$15:$AS$54,変更申込み!$BJ19*2,1),"")</f>
        <v/>
      </c>
      <c r="E39" s="114" t="str">
        <f>IF(B39&lt;&gt;"",COUNTIF(エントリー!$E$6:$E$85,A39),"")</f>
        <v/>
      </c>
      <c r="G39" s="176">
        <f t="shared" si="13"/>
        <v>55</v>
      </c>
      <c r="I39" s="99">
        <f t="shared" si="14"/>
        <v>55</v>
      </c>
      <c r="J39" s="99" t="str">
        <f t="shared" si="7"/>
        <v/>
      </c>
      <c r="K39" s="99" t="str">
        <f t="shared" si="8"/>
        <v/>
      </c>
      <c r="L39" s="99" t="str">
        <f t="shared" si="9"/>
        <v/>
      </c>
      <c r="N39" s="99">
        <f t="shared" si="10"/>
        <v>0</v>
      </c>
      <c r="O39" s="99" t="str">
        <f t="shared" si="15"/>
        <v/>
      </c>
      <c r="P39" s="198" t="str">
        <f t="shared" si="6"/>
        <v/>
      </c>
    </row>
    <row r="40" spans="1:16" x14ac:dyDescent="0.4">
      <c r="A40" s="180">
        <v>56</v>
      </c>
      <c r="B40" s="99" t="str">
        <f>IF(変更申込み!$BJ20&lt;&gt;"",INDEX(変更申込み!$AR$15:$AS$54,変更申込み!$BJ20*2-1,2),"")</f>
        <v/>
      </c>
      <c r="C40" s="99" t="str">
        <f>IF($B40&lt;&gt;"",INDEX(変更申込み!$AR$15:$AS$54,変更申込み!$BJ20*2,2),"")</f>
        <v/>
      </c>
      <c r="D40" s="181" t="str">
        <f>IF($B40&lt;&gt;"",INDEX(変更申込み!$AR$15:$AS$54,変更申込み!$BJ20*2,1),"")</f>
        <v/>
      </c>
      <c r="E40" s="114" t="str">
        <f>IF(B40&lt;&gt;"",COUNTIF(エントリー!$E$6:$E$85,A40),"")</f>
        <v/>
      </c>
      <c r="G40" s="176">
        <f t="shared" si="13"/>
        <v>56</v>
      </c>
      <c r="I40" s="99">
        <f t="shared" si="14"/>
        <v>56</v>
      </c>
      <c r="J40" s="99" t="str">
        <f t="shared" si="7"/>
        <v/>
      </c>
      <c r="K40" s="99" t="str">
        <f t="shared" si="8"/>
        <v/>
      </c>
      <c r="L40" s="99" t="str">
        <f t="shared" si="9"/>
        <v/>
      </c>
      <c r="N40" s="99">
        <f t="shared" si="10"/>
        <v>0</v>
      </c>
      <c r="O40" s="99" t="str">
        <f t="shared" si="15"/>
        <v/>
      </c>
      <c r="P40" s="198" t="str">
        <f t="shared" si="6"/>
        <v/>
      </c>
    </row>
    <row r="41" spans="1:16" x14ac:dyDescent="0.4">
      <c r="A41" s="180">
        <v>57</v>
      </c>
      <c r="B41" s="99" t="str">
        <f>IF(変更申込み!$BJ21&lt;&gt;"",INDEX(変更申込み!$AR$15:$AS$54,変更申込み!$BJ21*2-1,2),"")</f>
        <v/>
      </c>
      <c r="C41" s="99" t="str">
        <f>IF($B41&lt;&gt;"",INDEX(変更申込み!$AR$15:$AS$54,変更申込み!$BJ21*2,2),"")</f>
        <v/>
      </c>
      <c r="D41" s="181" t="str">
        <f>IF($B41&lt;&gt;"",INDEX(変更申込み!$AR$15:$AS$54,変更申込み!$BJ21*2,1),"")</f>
        <v/>
      </c>
      <c r="E41" s="114" t="str">
        <f>IF(B41&lt;&gt;"",COUNTIF(エントリー!$E$6:$E$85,A41),"")</f>
        <v/>
      </c>
      <c r="G41" s="176">
        <f t="shared" si="13"/>
        <v>57</v>
      </c>
      <c r="I41" s="99">
        <f t="shared" si="14"/>
        <v>57</v>
      </c>
      <c r="J41" s="99" t="str">
        <f t="shared" si="7"/>
        <v/>
      </c>
      <c r="K41" s="99" t="str">
        <f t="shared" si="8"/>
        <v/>
      </c>
      <c r="L41" s="99" t="str">
        <f t="shared" si="9"/>
        <v/>
      </c>
      <c r="N41" s="99">
        <f t="shared" si="10"/>
        <v>0</v>
      </c>
      <c r="O41" s="99" t="str">
        <f t="shared" si="15"/>
        <v/>
      </c>
      <c r="P41" s="198" t="str">
        <f t="shared" si="6"/>
        <v/>
      </c>
    </row>
    <row r="42" spans="1:16" x14ac:dyDescent="0.4">
      <c r="A42" s="180">
        <v>58</v>
      </c>
      <c r="B42" s="99" t="str">
        <f>IF(変更申込み!$BJ22&lt;&gt;"",INDEX(変更申込み!$AR$15:$AS$54,変更申込み!$BJ22*2-1,2),"")</f>
        <v/>
      </c>
      <c r="C42" s="99" t="str">
        <f>IF($B42&lt;&gt;"",INDEX(変更申込み!$AR$15:$AS$54,変更申込み!$BJ22*2,2),"")</f>
        <v/>
      </c>
      <c r="D42" s="181" t="str">
        <f>IF($B42&lt;&gt;"",INDEX(変更申込み!$AR$15:$AS$54,変更申込み!$BJ22*2,1),"")</f>
        <v/>
      </c>
      <c r="E42" s="114" t="str">
        <f>IF(B42&lt;&gt;"",COUNTIF(エントリー!$E$6:$E$85,A42),"")</f>
        <v/>
      </c>
      <c r="G42" s="176">
        <f t="shared" si="13"/>
        <v>58</v>
      </c>
      <c r="I42" s="99">
        <f t="shared" si="14"/>
        <v>58</v>
      </c>
      <c r="J42" s="99" t="str">
        <f t="shared" si="7"/>
        <v/>
      </c>
      <c r="K42" s="99" t="str">
        <f t="shared" si="8"/>
        <v/>
      </c>
      <c r="L42" s="99" t="str">
        <f t="shared" si="9"/>
        <v/>
      </c>
      <c r="N42" s="99">
        <f t="shared" si="10"/>
        <v>0</v>
      </c>
      <c r="O42" s="99" t="str">
        <f t="shared" si="15"/>
        <v/>
      </c>
      <c r="P42" s="198" t="str">
        <f t="shared" si="6"/>
        <v/>
      </c>
    </row>
    <row r="43" spans="1:16" x14ac:dyDescent="0.4">
      <c r="A43" s="180">
        <v>59</v>
      </c>
      <c r="B43" s="99" t="str">
        <f>IF(変更申込み!$BJ23&lt;&gt;"",INDEX(変更申込み!$AR$15:$AS$54,変更申込み!$BJ23*2-1,2),"")</f>
        <v/>
      </c>
      <c r="C43" s="99" t="str">
        <f>IF($B43&lt;&gt;"",INDEX(変更申込み!$AR$15:$AS$54,変更申込み!$BJ23*2,2),"")</f>
        <v/>
      </c>
      <c r="D43" s="181" t="str">
        <f>IF($B43&lt;&gt;"",INDEX(変更申込み!$AR$15:$AS$54,変更申込み!$BJ23*2,1),"")</f>
        <v/>
      </c>
      <c r="E43" s="114" t="str">
        <f>IF(B43&lt;&gt;"",COUNTIF(エントリー!$E$6:$E$85,A43),"")</f>
        <v/>
      </c>
      <c r="G43" s="176">
        <f t="shared" si="13"/>
        <v>59</v>
      </c>
      <c r="I43" s="99">
        <f t="shared" si="14"/>
        <v>59</v>
      </c>
      <c r="J43" s="99" t="str">
        <f t="shared" si="7"/>
        <v/>
      </c>
      <c r="K43" s="99" t="str">
        <f t="shared" si="8"/>
        <v/>
      </c>
      <c r="L43" s="99" t="str">
        <f t="shared" si="9"/>
        <v/>
      </c>
      <c r="N43" s="99">
        <f t="shared" si="10"/>
        <v>0</v>
      </c>
      <c r="O43" s="99" t="str">
        <f t="shared" si="15"/>
        <v/>
      </c>
      <c r="P43" s="198" t="str">
        <f t="shared" si="6"/>
        <v/>
      </c>
    </row>
    <row r="44" spans="1:16" x14ac:dyDescent="0.4">
      <c r="A44" s="180">
        <v>60</v>
      </c>
      <c r="B44" s="99" t="str">
        <f>IF(変更申込み!$BJ24&lt;&gt;"",INDEX(変更申込み!$AR$15:$AS$54,変更申込み!$BJ24*2-1,2),"")</f>
        <v/>
      </c>
      <c r="C44" s="99" t="str">
        <f>IF($B44&lt;&gt;"",INDEX(変更申込み!$AR$15:$AS$54,変更申込み!$BJ24*2,2),"")</f>
        <v/>
      </c>
      <c r="D44" s="181" t="str">
        <f>IF($B44&lt;&gt;"",INDEX(変更申込み!$AR$15:$AS$54,変更申込み!$BJ24*2,1),"")</f>
        <v/>
      </c>
      <c r="E44" s="114" t="str">
        <f>IF(B44&lt;&gt;"",COUNTIF(エントリー!$E$6:$E$85,A44),"")</f>
        <v/>
      </c>
      <c r="G44" s="176">
        <f t="shared" ref="G44" si="16">A44</f>
        <v>60</v>
      </c>
      <c r="I44" s="99">
        <f t="shared" ref="I44" si="17">A44</f>
        <v>60</v>
      </c>
      <c r="J44" s="99" t="str">
        <f t="shared" si="7"/>
        <v/>
      </c>
      <c r="K44" s="99" t="str">
        <f t="shared" si="8"/>
        <v/>
      </c>
      <c r="L44" s="99" t="str">
        <f t="shared" si="9"/>
        <v/>
      </c>
      <c r="N44" s="99">
        <f t="shared" si="10"/>
        <v>0</v>
      </c>
      <c r="O44" s="99" t="str">
        <f t="shared" si="15"/>
        <v/>
      </c>
      <c r="P44" s="198" t="str">
        <f t="shared" si="6"/>
        <v/>
      </c>
    </row>
    <row r="45" spans="1:16" x14ac:dyDescent="0.4">
      <c r="A45" s="180">
        <v>61</v>
      </c>
      <c r="B45" s="99" t="str">
        <f>IF(変更申込み!$BJ25&lt;&gt;"",INDEX(変更申込み!$AR$15:$AS$54,変更申込み!$BJ25*2-1,2),"")</f>
        <v/>
      </c>
      <c r="C45" s="99" t="str">
        <f>IF($B45&lt;&gt;"",INDEX(変更申込み!$AR$15:$AS$54,変更申込み!$BJ25*2,2),"")</f>
        <v/>
      </c>
      <c r="D45" s="181" t="str">
        <f>IF($B45&lt;&gt;"",INDEX(変更申込み!$AR$15:$AS$54,変更申込み!$BJ25*2,1),"")</f>
        <v/>
      </c>
      <c r="E45" s="114" t="str">
        <f>IF(B45&lt;&gt;"",COUNTIF(エントリー!$E$6:$E$85,A45),"")</f>
        <v/>
      </c>
      <c r="G45" s="176">
        <f t="shared" ref="G45:G54" si="18">A45</f>
        <v>61</v>
      </c>
      <c r="I45" s="99">
        <f t="shared" ref="I45:I54" si="19">A45</f>
        <v>61</v>
      </c>
      <c r="J45" s="99" t="str">
        <f t="shared" ref="J45:J54" si="20">IF(B45&lt;&gt;"",B45,"")</f>
        <v/>
      </c>
      <c r="K45" s="99" t="str">
        <f t="shared" ref="K45:K54" si="21">IF(C45&lt;&gt;"",C45,"")</f>
        <v/>
      </c>
      <c r="L45" s="99" t="str">
        <f t="shared" ref="L45:L54" si="22">IF(D45&lt;&gt;"",D45,"")</f>
        <v/>
      </c>
      <c r="N45" s="99">
        <f t="shared" si="10"/>
        <v>0</v>
      </c>
      <c r="O45" s="99" t="str">
        <f t="shared" si="15"/>
        <v/>
      </c>
      <c r="P45" s="198" t="str">
        <f t="shared" si="6"/>
        <v/>
      </c>
    </row>
    <row r="46" spans="1:16" x14ac:dyDescent="0.4">
      <c r="A46" s="180">
        <v>62</v>
      </c>
      <c r="B46" s="99" t="str">
        <f>IF(変更申込み!$BJ26&lt;&gt;"",INDEX(変更申込み!$AR$15:$AS$54,変更申込み!$BJ26*2-1,2),"")</f>
        <v/>
      </c>
      <c r="C46" s="99" t="str">
        <f>IF($B46&lt;&gt;"",INDEX(変更申込み!$AR$15:$AS$54,変更申込み!$BJ26*2,2),"")</f>
        <v/>
      </c>
      <c r="D46" s="181" t="str">
        <f>IF($B46&lt;&gt;"",INDEX(変更申込み!$AR$15:$AS$54,変更申込み!$BJ26*2,1),"")</f>
        <v/>
      </c>
      <c r="E46" s="114" t="str">
        <f>IF(B46&lt;&gt;"",COUNTIF(エントリー!$E$6:$E$85,A46),"")</f>
        <v/>
      </c>
      <c r="G46" s="176">
        <f t="shared" si="18"/>
        <v>62</v>
      </c>
      <c r="I46" s="99">
        <f t="shared" si="19"/>
        <v>62</v>
      </c>
      <c r="J46" s="99" t="str">
        <f t="shared" si="20"/>
        <v/>
      </c>
      <c r="K46" s="99" t="str">
        <f t="shared" si="21"/>
        <v/>
      </c>
      <c r="L46" s="99" t="str">
        <f t="shared" si="22"/>
        <v/>
      </c>
      <c r="N46" s="99">
        <f t="shared" si="10"/>
        <v>0</v>
      </c>
      <c r="O46" s="99" t="str">
        <f t="shared" si="15"/>
        <v/>
      </c>
      <c r="P46" s="198" t="str">
        <f t="shared" si="6"/>
        <v/>
      </c>
    </row>
    <row r="47" spans="1:16" x14ac:dyDescent="0.4">
      <c r="A47" s="180">
        <v>63</v>
      </c>
      <c r="B47" s="99" t="str">
        <f>IF(変更申込み!$BJ27&lt;&gt;"",INDEX(変更申込み!$AR$15:$AS$54,変更申込み!$BJ27*2-1,2),"")</f>
        <v/>
      </c>
      <c r="C47" s="99" t="str">
        <f>IF($B47&lt;&gt;"",INDEX(変更申込み!$AR$15:$AS$54,変更申込み!$BJ27*2,2),"")</f>
        <v/>
      </c>
      <c r="D47" s="181" t="str">
        <f>IF($B47&lt;&gt;"",INDEX(変更申込み!$AR$15:$AS$54,変更申込み!$BJ27*2,1),"")</f>
        <v/>
      </c>
      <c r="E47" s="114" t="str">
        <f>IF(B47&lt;&gt;"",COUNTIF(エントリー!$E$6:$E$85,A47),"")</f>
        <v/>
      </c>
      <c r="G47" s="176">
        <f t="shared" si="18"/>
        <v>63</v>
      </c>
      <c r="I47" s="99">
        <f t="shared" si="19"/>
        <v>63</v>
      </c>
      <c r="J47" s="99" t="str">
        <f t="shared" si="20"/>
        <v/>
      </c>
      <c r="K47" s="99" t="str">
        <f t="shared" si="21"/>
        <v/>
      </c>
      <c r="L47" s="99" t="str">
        <f t="shared" si="22"/>
        <v/>
      </c>
      <c r="N47" s="99">
        <f t="shared" si="10"/>
        <v>0</v>
      </c>
      <c r="O47" s="99" t="str">
        <f t="shared" si="15"/>
        <v/>
      </c>
      <c r="P47" s="198" t="str">
        <f t="shared" si="6"/>
        <v/>
      </c>
    </row>
    <row r="48" spans="1:16" x14ac:dyDescent="0.4">
      <c r="A48" s="180">
        <v>64</v>
      </c>
      <c r="B48" s="99" t="str">
        <f>IF(変更申込み!$BJ28&lt;&gt;"",INDEX(変更申込み!$AR$15:$AS$54,変更申込み!$BJ28*2-1,2),"")</f>
        <v/>
      </c>
      <c r="C48" s="99" t="str">
        <f>IF($B48&lt;&gt;"",INDEX(変更申込み!$AR$15:$AS$54,変更申込み!$BJ28*2,2),"")</f>
        <v/>
      </c>
      <c r="D48" s="181" t="str">
        <f>IF($B48&lt;&gt;"",INDEX(変更申込み!$AR$15:$AS$54,変更申込み!$BJ28*2,1),"")</f>
        <v/>
      </c>
      <c r="E48" s="114" t="str">
        <f>IF(B48&lt;&gt;"",COUNTIF(エントリー!$E$6:$E$85,A48),"")</f>
        <v/>
      </c>
      <c r="G48" s="176">
        <f t="shared" si="18"/>
        <v>64</v>
      </c>
      <c r="I48" s="99">
        <f t="shared" si="19"/>
        <v>64</v>
      </c>
      <c r="J48" s="99" t="str">
        <f t="shared" si="20"/>
        <v/>
      </c>
      <c r="K48" s="99" t="str">
        <f t="shared" si="21"/>
        <v/>
      </c>
      <c r="L48" s="99" t="str">
        <f t="shared" si="22"/>
        <v/>
      </c>
      <c r="N48" s="99">
        <f t="shared" si="10"/>
        <v>0</v>
      </c>
      <c r="O48" s="99" t="str">
        <f t="shared" si="15"/>
        <v/>
      </c>
      <c r="P48" s="198" t="str">
        <f t="shared" si="6"/>
        <v/>
      </c>
    </row>
    <row r="49" spans="1:16" x14ac:dyDescent="0.4">
      <c r="A49" s="180">
        <v>65</v>
      </c>
      <c r="B49" s="99" t="str">
        <f>IF(変更申込み!$BJ29&lt;&gt;"",INDEX(変更申込み!$AR$15:$AS$54,変更申込み!$BJ29*2-1,2),"")</f>
        <v/>
      </c>
      <c r="C49" s="99" t="str">
        <f>IF($B49&lt;&gt;"",INDEX(変更申込み!$AR$15:$AS$54,変更申込み!$BJ29*2,2),"")</f>
        <v/>
      </c>
      <c r="D49" s="181" t="str">
        <f>IF($B49&lt;&gt;"",INDEX(変更申込み!$AR$15:$AS$54,変更申込み!$BJ29*2,1),"")</f>
        <v/>
      </c>
      <c r="E49" s="114" t="str">
        <f>IF(B49&lt;&gt;"",COUNTIF(エントリー!$E$6:$E$85,A49),"")</f>
        <v/>
      </c>
      <c r="G49" s="176">
        <f t="shared" si="18"/>
        <v>65</v>
      </c>
      <c r="I49" s="99">
        <f t="shared" si="19"/>
        <v>65</v>
      </c>
      <c r="J49" s="99" t="str">
        <f t="shared" si="20"/>
        <v/>
      </c>
      <c r="K49" s="99" t="str">
        <f t="shared" si="21"/>
        <v/>
      </c>
      <c r="L49" s="99" t="str">
        <f t="shared" si="22"/>
        <v/>
      </c>
      <c r="N49" s="99">
        <f t="shared" si="10"/>
        <v>0</v>
      </c>
      <c r="O49" s="99" t="str">
        <f t="shared" si="15"/>
        <v/>
      </c>
      <c r="P49" s="198" t="str">
        <f t="shared" si="6"/>
        <v/>
      </c>
    </row>
    <row r="50" spans="1:16" x14ac:dyDescent="0.4">
      <c r="A50" s="180">
        <v>66</v>
      </c>
      <c r="B50" s="99" t="str">
        <f>IF(変更申込み!$BJ30&lt;&gt;"",INDEX(変更申込み!$AR$15:$AS$54,変更申込み!$BJ30*2-1,2),"")</f>
        <v/>
      </c>
      <c r="C50" s="99" t="str">
        <f>IF($B50&lt;&gt;"",INDEX(変更申込み!$AR$15:$AS$54,変更申込み!$BJ30*2,2),"")</f>
        <v/>
      </c>
      <c r="D50" s="181" t="str">
        <f>IF($B50&lt;&gt;"",INDEX(変更申込み!$AR$15:$AS$54,変更申込み!$BJ30*2,1),"")</f>
        <v/>
      </c>
      <c r="E50" s="114" t="str">
        <f>IF(B50&lt;&gt;"",COUNTIF(エントリー!$E$6:$E$85,A50),"")</f>
        <v/>
      </c>
      <c r="G50" s="176">
        <f t="shared" si="18"/>
        <v>66</v>
      </c>
      <c r="I50" s="99">
        <f t="shared" si="19"/>
        <v>66</v>
      </c>
      <c r="J50" s="99" t="str">
        <f t="shared" si="20"/>
        <v/>
      </c>
      <c r="K50" s="99" t="str">
        <f t="shared" si="21"/>
        <v/>
      </c>
      <c r="L50" s="99" t="str">
        <f t="shared" si="22"/>
        <v/>
      </c>
      <c r="N50" s="99">
        <f t="shared" si="10"/>
        <v>0</v>
      </c>
      <c r="O50" s="99" t="str">
        <f t="shared" si="15"/>
        <v/>
      </c>
      <c r="P50" s="198" t="str">
        <f t="shared" si="6"/>
        <v/>
      </c>
    </row>
    <row r="51" spans="1:16" x14ac:dyDescent="0.4">
      <c r="A51" s="180">
        <v>67</v>
      </c>
      <c r="B51" s="99" t="str">
        <f>IF(変更申込み!$BJ31&lt;&gt;"",INDEX(変更申込み!$AR$15:$AS$54,変更申込み!$BJ31*2-1,2),"")</f>
        <v/>
      </c>
      <c r="C51" s="99" t="str">
        <f>IF($B51&lt;&gt;"",INDEX(変更申込み!$AR$15:$AS$54,変更申込み!$BJ31*2,2),"")</f>
        <v/>
      </c>
      <c r="D51" s="181" t="str">
        <f>IF($B51&lt;&gt;"",INDEX(変更申込み!$AR$15:$AS$54,変更申込み!$BJ31*2,1),"")</f>
        <v/>
      </c>
      <c r="E51" s="114" t="str">
        <f>IF(B51&lt;&gt;"",COUNTIF(エントリー!$E$6:$E$85,A51),"")</f>
        <v/>
      </c>
      <c r="G51" s="176">
        <f t="shared" si="18"/>
        <v>67</v>
      </c>
      <c r="I51" s="99">
        <f t="shared" si="19"/>
        <v>67</v>
      </c>
      <c r="J51" s="99" t="str">
        <f t="shared" si="20"/>
        <v/>
      </c>
      <c r="K51" s="99" t="str">
        <f t="shared" si="21"/>
        <v/>
      </c>
      <c r="L51" s="99" t="str">
        <f t="shared" si="22"/>
        <v/>
      </c>
      <c r="N51" s="99">
        <f t="shared" si="10"/>
        <v>0</v>
      </c>
      <c r="O51" s="99" t="str">
        <f t="shared" si="15"/>
        <v/>
      </c>
      <c r="P51" s="198" t="str">
        <f t="shared" si="6"/>
        <v/>
      </c>
    </row>
    <row r="52" spans="1:16" x14ac:dyDescent="0.4">
      <c r="A52" s="180">
        <v>68</v>
      </c>
      <c r="B52" s="99" t="str">
        <f>IF(変更申込み!$BJ32&lt;&gt;"",INDEX(変更申込み!$AR$15:$AS$54,変更申込み!$BJ32*2-1,2),"")</f>
        <v/>
      </c>
      <c r="C52" s="99" t="str">
        <f>IF($B52&lt;&gt;"",INDEX(変更申込み!$AR$15:$AS$54,変更申込み!$BJ32*2,2),"")</f>
        <v/>
      </c>
      <c r="D52" s="181" t="str">
        <f>IF($B52&lt;&gt;"",INDEX(変更申込み!$AR$15:$AS$54,変更申込み!$BJ32*2,1),"")</f>
        <v/>
      </c>
      <c r="E52" s="114" t="str">
        <f>IF(B52&lt;&gt;"",COUNTIF(エントリー!$E$6:$E$85,A52),"")</f>
        <v/>
      </c>
      <c r="G52" s="176">
        <f t="shared" si="18"/>
        <v>68</v>
      </c>
      <c r="I52" s="99">
        <f t="shared" si="19"/>
        <v>68</v>
      </c>
      <c r="J52" s="99" t="str">
        <f t="shared" si="20"/>
        <v/>
      </c>
      <c r="K52" s="99" t="str">
        <f t="shared" si="21"/>
        <v/>
      </c>
      <c r="L52" s="99" t="str">
        <f t="shared" si="22"/>
        <v/>
      </c>
      <c r="N52" s="99">
        <f t="shared" si="10"/>
        <v>0</v>
      </c>
      <c r="O52" s="99" t="str">
        <f t="shared" si="15"/>
        <v/>
      </c>
      <c r="P52" s="198" t="str">
        <f t="shared" si="6"/>
        <v/>
      </c>
    </row>
    <row r="53" spans="1:16" x14ac:dyDescent="0.4">
      <c r="A53" s="180">
        <v>69</v>
      </c>
      <c r="B53" s="99" t="str">
        <f>IF(変更申込み!$BJ33&lt;&gt;"",INDEX(変更申込み!$AR$15:$AS$54,変更申込み!$BJ33*2-1,2),"")</f>
        <v/>
      </c>
      <c r="C53" s="99" t="str">
        <f>IF($B53&lt;&gt;"",INDEX(変更申込み!$AR$15:$AS$54,変更申込み!$BJ33*2,2),"")</f>
        <v/>
      </c>
      <c r="D53" s="181" t="str">
        <f>IF($B53&lt;&gt;"",INDEX(変更申込み!$AR$15:$AS$54,変更申込み!$BJ33*2,1),"")</f>
        <v/>
      </c>
      <c r="E53" s="114" t="str">
        <f>IF(B53&lt;&gt;"",COUNTIF(エントリー!$E$6:$E$85,A53),"")</f>
        <v/>
      </c>
      <c r="G53" s="176">
        <f t="shared" si="18"/>
        <v>69</v>
      </c>
      <c r="I53" s="99">
        <f t="shared" si="19"/>
        <v>69</v>
      </c>
      <c r="J53" s="99" t="str">
        <f t="shared" si="20"/>
        <v/>
      </c>
      <c r="K53" s="99" t="str">
        <f t="shared" si="21"/>
        <v/>
      </c>
      <c r="L53" s="99" t="str">
        <f t="shared" si="22"/>
        <v/>
      </c>
      <c r="N53" s="99">
        <f t="shared" si="10"/>
        <v>0</v>
      </c>
      <c r="O53" s="99" t="str">
        <f t="shared" si="15"/>
        <v/>
      </c>
      <c r="P53" s="198" t="str">
        <f t="shared" si="6"/>
        <v/>
      </c>
    </row>
    <row r="54" spans="1:16" ht="19.5" thickBot="1" x14ac:dyDescent="0.45">
      <c r="A54" s="182">
        <v>70</v>
      </c>
      <c r="B54" s="17" t="str">
        <f>IF(変更申込み!$BJ34&lt;&gt;"",INDEX(変更申込み!$AR$15:$AS$54,変更申込み!$BJ34*2-1,2),"")</f>
        <v/>
      </c>
      <c r="C54" s="17" t="str">
        <f>IF($B54&lt;&gt;"",INDEX(変更申込み!$AR$15:$AS$54,変更申込み!$BJ34*2,2),"")</f>
        <v/>
      </c>
      <c r="D54" s="18" t="str">
        <f>IF($B54&lt;&gt;"",INDEX(変更申込み!$AR$15:$AS$54,変更申込み!$BJ34*2,1),"")</f>
        <v/>
      </c>
      <c r="E54" s="115" t="str">
        <f>IF(B54&lt;&gt;"",COUNTIF(エントリー!$E$6:$E$85,A54),"")</f>
        <v/>
      </c>
      <c r="G54" s="128">
        <f t="shared" si="18"/>
        <v>70</v>
      </c>
      <c r="I54" s="99">
        <f t="shared" si="19"/>
        <v>70</v>
      </c>
      <c r="J54" s="99" t="str">
        <f t="shared" si="20"/>
        <v/>
      </c>
      <c r="K54" s="99" t="str">
        <f t="shared" si="21"/>
        <v/>
      </c>
      <c r="L54" s="99" t="str">
        <f t="shared" si="22"/>
        <v/>
      </c>
      <c r="N54" s="99">
        <f t="shared" si="10"/>
        <v>0</v>
      </c>
      <c r="O54" s="99" t="str">
        <f t="shared" si="15"/>
        <v/>
      </c>
      <c r="P54" s="198" t="str">
        <f t="shared" si="6"/>
        <v/>
      </c>
    </row>
  </sheetData>
  <sheetProtection algorithmName="SHA-512" hashValue="WYkRgkgrBncF58ldDghrqwnzAGaRs55uMQD0oyBvIIWTpV2nTA6u5X149jeKUENP3BbN8S+6nNfgltC3/2W7cg==" saltValue="Hcay+SqMSUsi2bb8nYakQg==" spinCount="100000" sheet="1" objects="1" scenarios="1"/>
  <mergeCells count="8">
    <mergeCell ref="A2:E2"/>
    <mergeCell ref="A1:E1"/>
    <mergeCell ref="E6:E7"/>
    <mergeCell ref="D6:D7"/>
    <mergeCell ref="C6:C7"/>
    <mergeCell ref="B6:B7"/>
    <mergeCell ref="A6:A7"/>
    <mergeCell ref="A4:B4"/>
  </mergeCells>
  <phoneticPr fontId="4"/>
  <printOptions horizontalCentered="1"/>
  <pageMargins left="0.70866141732283472" right="0.70866141732283472" top="0.59055118110236227" bottom="0.59055118110236227" header="0.31496062992125984" footer="0.31496062992125984"/>
  <pageSetup paperSize="9" scale="77" fitToWidth="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0F86-3792-4334-AFB9-B9A8FE02BB67}">
  <sheetPr codeName="Sheet8">
    <tabColor rgb="FF00B050"/>
    <pageSetUpPr fitToPage="1"/>
  </sheetPr>
  <dimension ref="A1:AD86"/>
  <sheetViews>
    <sheetView view="pageBreakPreview" zoomScaleNormal="100" zoomScaleSheetLayoutView="100" workbookViewId="0">
      <selection activeCell="H6" sqref="H6"/>
    </sheetView>
  </sheetViews>
  <sheetFormatPr defaultRowHeight="18.75" x14ac:dyDescent="0.4"/>
  <cols>
    <col min="1" max="1" width="5.25" bestFit="1" customWidth="1"/>
    <col min="2" max="2" width="5.125" hidden="1" customWidth="1"/>
    <col min="3" max="3" width="4.375" hidden="1" customWidth="1"/>
    <col min="4" max="5" width="4.75" hidden="1" customWidth="1"/>
    <col min="6" max="6" width="35.75" customWidth="1"/>
    <col min="7" max="7" width="22.375" customWidth="1"/>
    <col min="8" max="8" width="26.25" customWidth="1"/>
    <col min="9" max="9" width="33.875" customWidth="1"/>
    <col min="10" max="10" width="12" customWidth="1"/>
    <col min="11" max="11" width="8.125" customWidth="1"/>
    <col min="12" max="12" width="35.375" customWidth="1"/>
    <col min="13" max="13" width="50.25" customWidth="1"/>
    <col min="14" max="15" width="12.75" customWidth="1"/>
    <col min="16" max="16" width="5.25" customWidth="1"/>
    <col min="17" max="17" width="6.5" customWidth="1"/>
    <col min="18" max="18" width="6.125" customWidth="1"/>
    <col min="19" max="19" width="6.75" customWidth="1"/>
    <col min="20" max="20" width="7.25" customWidth="1"/>
    <col min="21" max="21" width="6.75" customWidth="1"/>
    <col min="22" max="22" width="18.375" customWidth="1"/>
    <col min="23" max="31" width="9" customWidth="1"/>
  </cols>
  <sheetData>
    <row r="1" spans="1:30" x14ac:dyDescent="0.4">
      <c r="A1" s="339" t="str">
        <f>お知らせ・記入要領!$A$1</f>
        <v>第40回 キャロットステークス 申込書</v>
      </c>
      <c r="B1" s="340"/>
      <c r="C1" s="340"/>
      <c r="D1" s="340"/>
      <c r="E1" s="340"/>
      <c r="F1" s="340"/>
      <c r="G1" s="340"/>
      <c r="H1" s="340"/>
      <c r="I1" s="340"/>
      <c r="J1" s="340"/>
      <c r="K1" s="340"/>
      <c r="L1" s="340"/>
      <c r="Q1" t="s">
        <v>415</v>
      </c>
      <c r="R1" t="s">
        <v>416</v>
      </c>
      <c r="S1" t="s">
        <v>418</v>
      </c>
      <c r="T1" t="s">
        <v>416</v>
      </c>
    </row>
    <row r="2" spans="1:30" x14ac:dyDescent="0.4">
      <c r="A2" s="341" t="s">
        <v>83</v>
      </c>
      <c r="B2" s="340"/>
      <c r="C2" s="340"/>
      <c r="D2" s="340"/>
      <c r="E2" s="340"/>
      <c r="F2" s="340"/>
      <c r="G2" s="340"/>
      <c r="H2" s="340"/>
      <c r="I2" s="340"/>
      <c r="J2" s="340"/>
      <c r="K2" s="340"/>
      <c r="L2" s="340"/>
      <c r="Q2" t="s">
        <v>419</v>
      </c>
      <c r="R2" t="s">
        <v>416</v>
      </c>
      <c r="S2" t="s">
        <v>417</v>
      </c>
      <c r="T2" t="s">
        <v>416</v>
      </c>
    </row>
    <row r="3" spans="1:30" ht="24" customHeight="1" x14ac:dyDescent="0.4">
      <c r="A3" s="375" t="str">
        <f>"団体名：" &amp; 団体登録!B6</f>
        <v>団体名：</v>
      </c>
      <c r="B3" s="365"/>
      <c r="C3" s="365"/>
      <c r="D3" s="365"/>
      <c r="E3" s="365"/>
      <c r="F3" s="365"/>
      <c r="G3" s="70" t="s">
        <v>314</v>
      </c>
      <c r="H3" s="192" t="str">
        <f>IF(J3&lt;&gt;"",SUM(K6:K85),"")</f>
        <v/>
      </c>
      <c r="I3" s="70" t="s">
        <v>313</v>
      </c>
      <c r="J3" s="192" t="str">
        <f>IF(SUMPRODUCT((K6:K85&lt;&gt;"")*1)&gt;0,SUMPRODUCT((K6:K85&lt;&gt;"")*1),"")</f>
        <v/>
      </c>
      <c r="K3" s="70" t="s">
        <v>142</v>
      </c>
      <c r="L3" s="193" t="str">
        <f>IF(団体登録!$J$3&lt;&gt;"",団体登録!$J$3,"")</f>
        <v/>
      </c>
      <c r="O3" t="s">
        <v>325</v>
      </c>
      <c r="X3" t="s">
        <v>174</v>
      </c>
    </row>
    <row r="4" spans="1:30" ht="4.5" customHeight="1" thickBot="1" x14ac:dyDescent="0.45"/>
    <row r="5" spans="1:30" ht="47.25" x14ac:dyDescent="0.4">
      <c r="A5" s="259" t="s">
        <v>36</v>
      </c>
      <c r="B5" s="35" t="s">
        <v>28</v>
      </c>
      <c r="C5" s="35" t="s">
        <v>22</v>
      </c>
      <c r="D5" s="35" t="s">
        <v>60</v>
      </c>
      <c r="E5" s="35" t="s">
        <v>61</v>
      </c>
      <c r="F5" s="257" t="s">
        <v>47</v>
      </c>
      <c r="G5" s="33" t="s">
        <v>43</v>
      </c>
      <c r="H5" s="33" t="s">
        <v>48</v>
      </c>
      <c r="I5" s="33" t="s">
        <v>50</v>
      </c>
      <c r="J5" s="67" t="s">
        <v>145</v>
      </c>
      <c r="K5" s="33" t="s">
        <v>49</v>
      </c>
      <c r="L5" s="137" t="s">
        <v>348</v>
      </c>
      <c r="M5" s="113" t="s">
        <v>204</v>
      </c>
      <c r="N5" s="112"/>
      <c r="O5" s="194" t="s">
        <v>245</v>
      </c>
      <c r="P5" s="195" t="s">
        <v>168</v>
      </c>
      <c r="Q5" s="195" t="s">
        <v>201</v>
      </c>
      <c r="R5" s="195" t="s">
        <v>203</v>
      </c>
      <c r="S5" s="195" t="s">
        <v>345</v>
      </c>
      <c r="T5" s="195" t="s">
        <v>202</v>
      </c>
      <c r="U5" s="195"/>
      <c r="V5" s="195" t="s">
        <v>257</v>
      </c>
      <c r="X5" s="99" t="s">
        <v>163</v>
      </c>
      <c r="Y5" s="99" t="s">
        <v>177</v>
      </c>
      <c r="Z5" s="99" t="s">
        <v>178</v>
      </c>
      <c r="AA5" s="99" t="s">
        <v>179</v>
      </c>
      <c r="AB5" s="99" t="s">
        <v>168</v>
      </c>
      <c r="AC5" s="99" t="s">
        <v>180</v>
      </c>
      <c r="AD5" s="197" t="s">
        <v>343</v>
      </c>
    </row>
    <row r="6" spans="1:30" ht="23.25" customHeight="1" x14ac:dyDescent="0.4">
      <c r="A6" s="256">
        <v>1</v>
      </c>
      <c r="B6" s="258" t="str">
        <f>IF(F6&lt;&gt;"",VLOOKUP(F6,競技一覧!$P$5:$T$50,4,FALSE),"")</f>
        <v/>
      </c>
      <c r="C6" s="29" t="str">
        <f>IF(F6&lt;&gt;"",VLOOKUP(F6,競技一覧!$P$5:$T$50,5,FALSE),"")</f>
        <v/>
      </c>
      <c r="D6" s="29" t="str">
        <f>IF(G6&lt;&gt;"",VLOOKUP(G6,選手登録!$L$7:$O$56,4,FALSE),"")</f>
        <v/>
      </c>
      <c r="E6" s="29" t="str">
        <f>IF(H6&lt;&gt;"",VLOOKUP(H6,馬匹登録!$B$8:$G$54,6,FALSE),"")</f>
        <v/>
      </c>
      <c r="F6" s="254"/>
      <c r="G6" s="147"/>
      <c r="H6" s="147"/>
      <c r="I6" s="81" t="str">
        <f>IF(D6&lt;&gt;"",IF(VLOOKUP(D6,選手登録!$A$7:$H$56,8,FALSE)&lt;&gt;"",VLOOKUP(D6,選手登録!$A$7:$H$56,8,FALSE),団体登録!$B$6),"")</f>
        <v/>
      </c>
      <c r="J6" s="151"/>
      <c r="K6" s="28" t="str">
        <f>IF(AND(C6&lt;&gt;"",J6&lt;&gt;""),VLOOKUP(C6,競技一覧!$T$5:$Z$50,3+VLOOKUP(J6,リスト!$H$2:$I$5,2,FALSE),FALSE),"")</f>
        <v/>
      </c>
      <c r="L6" s="148"/>
      <c r="M6" s="263" t="str">
        <f>P6&amp;Q6&amp;R6&amp;S6</f>
        <v/>
      </c>
      <c r="N6" t="s">
        <v>205</v>
      </c>
      <c r="O6" s="99" t="str">
        <f t="shared" ref="O6:O37" si="0">IF(B6&lt;&gt;"",A6,"")</f>
        <v/>
      </c>
      <c r="P6" s="99" t="str">
        <f>IF(K6="-",$S$2,"")</f>
        <v/>
      </c>
      <c r="Q6" s="99" t="str">
        <f>IF(J6="社馬連",IF(IFERROR(VLOOKUP(I6,リスト!$E$10:$G$50,2,FALSE),2)&lt;&gt;0,$Q$1,""),"")</f>
        <v/>
      </c>
      <c r="R6" s="99" t="str">
        <f>IF(U6&gt;1,$Q$2,"")</f>
        <v/>
      </c>
      <c r="S6" s="99" t="str">
        <f>IF(F6&lt;&gt;"",IFERROR(IF(AND(VLOOKUP(C6,競技一覧!$T$5:$U$50,2,TRUE)="Y",OR(VLOOKUP(D6,選手登録!$A$7:$I$56,9,TRUE)="",VLOOKUP(E6,馬匹登録!$A$8:$D$54,4,TRUE)="")),$S$1,""),""),"")</f>
        <v/>
      </c>
      <c r="T6" s="99" t="str">
        <f t="shared" ref="T6:T37" si="1">IF(AND(B6&lt;&gt;"",D6&lt;&gt;"",E6&lt;&gt;""),B6&amp;"-"&amp;D6&amp;"-"&amp;E6,"")</f>
        <v/>
      </c>
      <c r="U6" s="99">
        <f t="shared" ref="U6:U37" si="2">IF(T6&lt;&gt;"",COUNTIF($T$6:$T$85,T6),0)</f>
        <v>0</v>
      </c>
      <c r="V6" s="99" t="str">
        <f>IFERROR(VLOOKUP(C6,競技一覧!$T$5:$AA$50,8,TRUE),"")</f>
        <v/>
      </c>
      <c r="X6" s="99">
        <f t="shared" ref="X6:X37" si="3">A6</f>
        <v>1</v>
      </c>
      <c r="Y6" s="99" t="str">
        <f t="shared" ref="Y6:Y37" si="4">IF(F6&lt;&gt;"",C6,"")</f>
        <v/>
      </c>
      <c r="Z6" s="99" t="str">
        <f t="shared" ref="Z6:Z37" si="5">IF(G6&lt;&gt;"",D6,"")</f>
        <v/>
      </c>
      <c r="AA6" s="99" t="str">
        <f t="shared" ref="AA6:AA37" si="6">IF(H6&lt;&gt;"",E6,"")</f>
        <v/>
      </c>
      <c r="AB6" s="99" t="str">
        <f>IF(J6&lt;&gt;"",VLOOKUP(J6,リスト!$H$2:$I$5,2,FALSE),"")</f>
        <v/>
      </c>
      <c r="AC6" s="99" t="str">
        <f>IF(K6&lt;&gt;"",K6,"")</f>
        <v/>
      </c>
      <c r="AD6" s="99" t="str">
        <f>IF(L6&lt;&gt;"",L6,"")</f>
        <v/>
      </c>
    </row>
    <row r="7" spans="1:30" ht="23.25" customHeight="1" x14ac:dyDescent="0.4">
      <c r="A7" s="256">
        <v>2</v>
      </c>
      <c r="B7" s="258" t="str">
        <f>IF(F7&lt;&gt;"",VLOOKUP(F7,競技一覧!$P$5:$T$50,4,FALSE),"")</f>
        <v/>
      </c>
      <c r="C7" s="77" t="str">
        <f>IF(F7&lt;&gt;"",VLOOKUP(F7,競技一覧!$P$5:$T$50,5,FALSE),"")</f>
        <v/>
      </c>
      <c r="D7" s="29" t="str">
        <f>IF(G7&lt;&gt;"",VLOOKUP(G7,選手登録!$L$7:$O$56,4,FALSE),"")</f>
        <v/>
      </c>
      <c r="E7" s="29" t="str">
        <f>IF(H7&lt;&gt;"",VLOOKUP(H7,馬匹登録!$B$8:$G$54,6,FALSE),"")</f>
        <v/>
      </c>
      <c r="F7" s="254"/>
      <c r="G7" s="147"/>
      <c r="H7" s="147"/>
      <c r="I7" s="81" t="str">
        <f>IF(D7&lt;&gt;"",IF(VLOOKUP(D7,選手登録!$A$7:$H$56,8,FALSE)&lt;&gt;"",VLOOKUP(D7,選手登録!$A$7:$H$56,8,FALSE),団体登録!$B$6),"")</f>
        <v/>
      </c>
      <c r="J7" s="151"/>
      <c r="K7" s="28" t="str">
        <f>IF(AND(C7&lt;&gt;"",J7&lt;&gt;""),VLOOKUP(C7,競技一覧!$T$5:$Z$50,3+VLOOKUP(J7,リスト!$H$2:$I$5,2,FALSE),FALSE),"")</f>
        <v/>
      </c>
      <c r="L7" s="148"/>
      <c r="M7" s="264" t="str">
        <f t="shared" ref="M7:M70" si="7">P7&amp;Q7&amp;R7&amp;S7</f>
        <v/>
      </c>
      <c r="N7" t="s">
        <v>205</v>
      </c>
      <c r="O7" s="99" t="str">
        <f t="shared" si="0"/>
        <v/>
      </c>
      <c r="P7" s="99" t="str">
        <f t="shared" ref="P7:P70" si="8">IF(K7="-",$S$2,"")</f>
        <v/>
      </c>
      <c r="Q7" s="99" t="str">
        <f>IF(J7="社馬連",IF(IFERROR(VLOOKUP(I7,リスト!$E$10:$G$50,2,FALSE),2)&lt;&gt;0,$Q$1,""),"")</f>
        <v/>
      </c>
      <c r="R7" s="99" t="str">
        <f t="shared" ref="R7:R70" si="9">IF(U7&gt;1,$Q$2,"")</f>
        <v/>
      </c>
      <c r="S7" s="99" t="str">
        <f>IF(F7&lt;&gt;"",IF(AND(VLOOKUP(C7,競技一覧!$T$5:$U$50,2,TRUE)="Y",OR(VLOOKUP(D7,選手登録!$A$7:$I$56,9,TRUE)="",VLOOKUP(E7,馬匹登録!$A$8:$D$54,4,TRUE)="")),$S$1,""),"")</f>
        <v/>
      </c>
      <c r="T7" s="99" t="str">
        <f t="shared" si="1"/>
        <v/>
      </c>
      <c r="U7" s="99">
        <f t="shared" si="2"/>
        <v>0</v>
      </c>
      <c r="V7" s="99" t="str">
        <f>IFERROR(VLOOKUP(C7,競技一覧!$T$5:$AA$50,8,TRUE),"")</f>
        <v/>
      </c>
      <c r="X7" s="99">
        <f t="shared" si="3"/>
        <v>2</v>
      </c>
      <c r="Y7" s="99" t="str">
        <f t="shared" si="4"/>
        <v/>
      </c>
      <c r="Z7" s="99" t="str">
        <f t="shared" si="5"/>
        <v/>
      </c>
      <c r="AA7" s="99" t="str">
        <f t="shared" si="6"/>
        <v/>
      </c>
      <c r="AB7" s="99" t="str">
        <f>IF(J7&lt;&gt;"",VLOOKUP(J7,リスト!$H$2:$I$5,2,FALSE),"")</f>
        <v/>
      </c>
      <c r="AC7" s="99" t="str">
        <f t="shared" ref="AC7:AC9" si="10">IF(K7&lt;&gt;"",K7,"")</f>
        <v/>
      </c>
      <c r="AD7" s="99" t="str">
        <f t="shared" ref="AD7:AD70" si="11">IF(L7&lt;&gt;"",L7,"")</f>
        <v/>
      </c>
    </row>
    <row r="8" spans="1:30" ht="23.25" customHeight="1" x14ac:dyDescent="0.4">
      <c r="A8" s="256">
        <v>3</v>
      </c>
      <c r="B8" s="258" t="str">
        <f>IF(F8&lt;&gt;"",VLOOKUP(F8,競技一覧!$P$5:$T$50,4,FALSE),"")</f>
        <v/>
      </c>
      <c r="C8" s="77" t="str">
        <f>IF(F8&lt;&gt;"",VLOOKUP(F8,競技一覧!$P$5:$T$50,5,FALSE),"")</f>
        <v/>
      </c>
      <c r="D8" s="29" t="str">
        <f>IF(G8&lt;&gt;"",VLOOKUP(G8,選手登録!$L$7:$O$56,4,FALSE),"")</f>
        <v/>
      </c>
      <c r="E8" s="29" t="str">
        <f>IF(H8&lt;&gt;"",VLOOKUP(H8,馬匹登録!$B$8:$G$54,6,FALSE),"")</f>
        <v/>
      </c>
      <c r="F8" s="254"/>
      <c r="G8" s="147"/>
      <c r="H8" s="147"/>
      <c r="I8" s="81" t="str">
        <f>IF(D8&lt;&gt;"",IF(VLOOKUP(D8,選手登録!$A$7:$H$56,8,FALSE)&lt;&gt;"",VLOOKUP(D8,選手登録!$A$7:$H$56,8,FALSE),団体登録!$B$6),"")</f>
        <v/>
      </c>
      <c r="J8" s="151"/>
      <c r="K8" s="28" t="str">
        <f>IF(AND(C8&lt;&gt;"",J8&lt;&gt;""),VLOOKUP(C8,競技一覧!$T$5:$Z$50,3+VLOOKUP(J8,リスト!$H$2:$I$5,2,FALSE),FALSE),"")</f>
        <v/>
      </c>
      <c r="L8" s="148"/>
      <c r="M8" s="264" t="str">
        <f t="shared" si="7"/>
        <v/>
      </c>
      <c r="N8" t="s">
        <v>205</v>
      </c>
      <c r="O8" s="99" t="str">
        <f t="shared" si="0"/>
        <v/>
      </c>
      <c r="P8" s="99" t="str">
        <f t="shared" si="8"/>
        <v/>
      </c>
      <c r="Q8" s="99" t="str">
        <f>IF(J8="社馬連",IF(IFERROR(VLOOKUP(I8,リスト!$E$10:$G$50,2,FALSE),2)&lt;&gt;0,$Q$1,""),"")</f>
        <v/>
      </c>
      <c r="R8" s="99" t="str">
        <f t="shared" si="9"/>
        <v/>
      </c>
      <c r="S8" s="99" t="str">
        <f>IF(F8&lt;&gt;"",IF(AND(VLOOKUP(C8,競技一覧!$T$5:$U$50,2,TRUE)="Y",OR(VLOOKUP(D8,選手登録!$A$7:$I$56,9,TRUE)="",VLOOKUP(E8,馬匹登録!$A$8:$D$54,4,TRUE)="")),$S$1,""),"")</f>
        <v/>
      </c>
      <c r="T8" s="99" t="str">
        <f t="shared" si="1"/>
        <v/>
      </c>
      <c r="U8" s="99">
        <f t="shared" si="2"/>
        <v>0</v>
      </c>
      <c r="V8" s="99" t="str">
        <f>IFERROR(VLOOKUP(C8,競技一覧!$T$5:$AA$50,8,TRUE),"")</f>
        <v/>
      </c>
      <c r="X8" s="99">
        <f t="shared" si="3"/>
        <v>3</v>
      </c>
      <c r="Y8" s="99" t="str">
        <f t="shared" si="4"/>
        <v/>
      </c>
      <c r="Z8" s="99" t="str">
        <f t="shared" si="5"/>
        <v/>
      </c>
      <c r="AA8" s="99" t="str">
        <f t="shared" si="6"/>
        <v/>
      </c>
      <c r="AB8" s="99" t="str">
        <f>IF(J8&lt;&gt;"",VLOOKUP(J8,リスト!$H$2:$I$5,2,FALSE),"")</f>
        <v/>
      </c>
      <c r="AC8" s="99" t="str">
        <f t="shared" si="10"/>
        <v/>
      </c>
      <c r="AD8" s="99" t="str">
        <f t="shared" si="11"/>
        <v/>
      </c>
    </row>
    <row r="9" spans="1:30" ht="23.25" customHeight="1" x14ac:dyDescent="0.4">
      <c r="A9" s="256">
        <v>4</v>
      </c>
      <c r="B9" s="258" t="str">
        <f>IF(F9&lt;&gt;"",VLOOKUP(F9,競技一覧!$P$5:$T$50,4,FALSE),"")</f>
        <v/>
      </c>
      <c r="C9" s="77" t="str">
        <f>IF(F9&lt;&gt;"",VLOOKUP(F9,競技一覧!$P$5:$T$50,5,FALSE),"")</f>
        <v/>
      </c>
      <c r="D9" s="29" t="str">
        <f>IF(G9&lt;&gt;"",VLOOKUP(G9,選手登録!$L$7:$O$56,4,FALSE),"")</f>
        <v/>
      </c>
      <c r="E9" s="29" t="str">
        <f>IF(H9&lt;&gt;"",VLOOKUP(H9,馬匹登録!$B$8:$G$54,6,FALSE),"")</f>
        <v/>
      </c>
      <c r="F9" s="254"/>
      <c r="G9" s="147"/>
      <c r="H9" s="147"/>
      <c r="I9" s="81" t="str">
        <f>IF(D9&lt;&gt;"",IF(VLOOKUP(D9,選手登録!$A$7:$H$56,8,FALSE)&lt;&gt;"",VLOOKUP(D9,選手登録!$A$7:$H$56,8,FALSE),団体登録!$B$6),"")</f>
        <v/>
      </c>
      <c r="J9" s="151"/>
      <c r="K9" s="28" t="str">
        <f>IF(AND(C9&lt;&gt;"",J9&lt;&gt;""),VLOOKUP(C9,競技一覧!$T$5:$Z$50,3+VLOOKUP(J9,リスト!$H$2:$I$5,2,FALSE),FALSE),"")</f>
        <v/>
      </c>
      <c r="L9" s="148"/>
      <c r="M9" s="264" t="str">
        <f t="shared" si="7"/>
        <v/>
      </c>
      <c r="N9" t="s">
        <v>205</v>
      </c>
      <c r="O9" s="99" t="str">
        <f t="shared" si="0"/>
        <v/>
      </c>
      <c r="P9" s="99" t="str">
        <f t="shared" si="8"/>
        <v/>
      </c>
      <c r="Q9" s="99" t="str">
        <f>IF(J9="社馬連",IF(IFERROR(VLOOKUP(I9,リスト!$E$10:$G$50,2,FALSE),2)&lt;&gt;0,$Q$1,""),"")</f>
        <v/>
      </c>
      <c r="R9" s="99" t="str">
        <f t="shared" si="9"/>
        <v/>
      </c>
      <c r="S9" s="99" t="str">
        <f>IF(F9&lt;&gt;"",IF(AND(VLOOKUP(C9,競技一覧!$T$5:$U$50,2,TRUE)="Y",OR(VLOOKUP(D9,選手登録!$A$7:$I$56,9,TRUE)="",VLOOKUP(E9,馬匹登録!$A$8:$D$54,4,TRUE)="")),$S$1,""),"")</f>
        <v/>
      </c>
      <c r="T9" s="99" t="str">
        <f t="shared" si="1"/>
        <v/>
      </c>
      <c r="U9" s="99">
        <f t="shared" si="2"/>
        <v>0</v>
      </c>
      <c r="V9" s="99" t="str">
        <f>IFERROR(VLOOKUP(C9,競技一覧!$T$5:$AA$50,8,TRUE),"")</f>
        <v/>
      </c>
      <c r="X9" s="99">
        <f t="shared" si="3"/>
        <v>4</v>
      </c>
      <c r="Y9" s="99" t="str">
        <f t="shared" si="4"/>
        <v/>
      </c>
      <c r="Z9" s="99" t="str">
        <f t="shared" si="5"/>
        <v/>
      </c>
      <c r="AA9" s="99" t="str">
        <f t="shared" si="6"/>
        <v/>
      </c>
      <c r="AB9" s="99" t="str">
        <f>IF(J9&lt;&gt;"",VLOOKUP(J9,リスト!$H$2:$I$5,2,FALSE),"")</f>
        <v/>
      </c>
      <c r="AC9" s="99" t="str">
        <f t="shared" si="10"/>
        <v/>
      </c>
      <c r="AD9" s="99" t="str">
        <f t="shared" si="11"/>
        <v/>
      </c>
    </row>
    <row r="10" spans="1:30" ht="23.25" customHeight="1" x14ac:dyDescent="0.4">
      <c r="A10" s="256">
        <v>5</v>
      </c>
      <c r="B10" s="258" t="str">
        <f>IF(F10&lt;&gt;"",VLOOKUP(F10,競技一覧!$P$5:$T$50,4,FALSE),"")</f>
        <v/>
      </c>
      <c r="C10" s="77" t="str">
        <f>IF(F10&lt;&gt;"",VLOOKUP(F10,競技一覧!$P$5:$T$50,5,FALSE),"")</f>
        <v/>
      </c>
      <c r="D10" s="29" t="str">
        <f>IF(G10&lt;&gt;"",VLOOKUP(G10,選手登録!$L$7:$O$56,4,FALSE),"")</f>
        <v/>
      </c>
      <c r="E10" s="29" t="str">
        <f>IF(H10&lt;&gt;"",VLOOKUP(H10,馬匹登録!$B$8:$G$54,6,FALSE),"")</f>
        <v/>
      </c>
      <c r="F10" s="254"/>
      <c r="G10" s="147"/>
      <c r="H10" s="147"/>
      <c r="I10" s="81" t="str">
        <f>IF(D10&lt;&gt;"",IF(VLOOKUP(D10,選手登録!$A$7:$H$56,8,FALSE)&lt;&gt;"",VLOOKUP(D10,選手登録!$A$7:$H$56,8,FALSE),団体登録!$B$6),"")</f>
        <v/>
      </c>
      <c r="J10" s="151"/>
      <c r="K10" s="28" t="str">
        <f>IF(AND(C10&lt;&gt;"",J10&lt;&gt;""),VLOOKUP(C10,競技一覧!$T$5:$Z$50,3+VLOOKUP(J10,リスト!$H$2:$I$5,2,FALSE),FALSE),"")</f>
        <v/>
      </c>
      <c r="L10" s="148"/>
      <c r="M10" s="264" t="str">
        <f t="shared" si="7"/>
        <v/>
      </c>
      <c r="N10" t="s">
        <v>205</v>
      </c>
      <c r="O10" s="99" t="str">
        <f t="shared" si="0"/>
        <v/>
      </c>
      <c r="P10" s="99" t="str">
        <f t="shared" si="8"/>
        <v/>
      </c>
      <c r="Q10" s="99" t="str">
        <f>IF(J10="社馬連",IF(IFERROR(VLOOKUP(I10,リスト!$E$10:$G$50,2,FALSE),2)&lt;&gt;0,$Q$1,""),"")</f>
        <v/>
      </c>
      <c r="R10" s="99" t="str">
        <f t="shared" si="9"/>
        <v/>
      </c>
      <c r="S10" s="99" t="str">
        <f>IF(F10&lt;&gt;"",IF(AND(VLOOKUP(C10,競技一覧!$T$5:$U$50,2,TRUE)="Y",OR(VLOOKUP(D10,選手登録!$A$7:$I$56,9,TRUE)="",VLOOKUP(E10,馬匹登録!$A$8:$D$54,4,TRUE)="")),$S$1,""),"")</f>
        <v/>
      </c>
      <c r="T10" s="99" t="str">
        <f t="shared" si="1"/>
        <v/>
      </c>
      <c r="U10" s="99">
        <f t="shared" si="2"/>
        <v>0</v>
      </c>
      <c r="V10" s="99" t="str">
        <f>IFERROR(VLOOKUP(C10,競技一覧!$T$5:$AA$50,8,TRUE),"")</f>
        <v/>
      </c>
      <c r="X10" s="99">
        <f t="shared" si="3"/>
        <v>5</v>
      </c>
      <c r="Y10" s="99" t="str">
        <f t="shared" si="4"/>
        <v/>
      </c>
      <c r="Z10" s="99" t="str">
        <f t="shared" si="5"/>
        <v/>
      </c>
      <c r="AA10" s="99" t="str">
        <f t="shared" si="6"/>
        <v/>
      </c>
      <c r="AB10" s="99" t="str">
        <f>IF(J10&lt;&gt;"",VLOOKUP(J10,リスト!$H$2:$I$5,2,FALSE),"")</f>
        <v/>
      </c>
      <c r="AC10" s="99" t="str">
        <f t="shared" ref="AC10:AC73" si="12">IF(K10&lt;&gt;"",K10,"")</f>
        <v/>
      </c>
      <c r="AD10" s="99" t="str">
        <f t="shared" si="11"/>
        <v/>
      </c>
    </row>
    <row r="11" spans="1:30" ht="23.25" customHeight="1" x14ac:dyDescent="0.4">
      <c r="A11" s="256">
        <v>6</v>
      </c>
      <c r="B11" s="258" t="str">
        <f>IF(F11&lt;&gt;"",VLOOKUP(F11,競技一覧!$P$5:$T$50,4,FALSE),"")</f>
        <v/>
      </c>
      <c r="C11" s="77" t="str">
        <f>IF(F11&lt;&gt;"",VLOOKUP(F11,競技一覧!$P$5:$T$50,5,FALSE),"")</f>
        <v/>
      </c>
      <c r="D11" s="29" t="str">
        <f>IF(G11&lt;&gt;"",VLOOKUP(G11,選手登録!$L$7:$O$56,4,FALSE),"")</f>
        <v/>
      </c>
      <c r="E11" s="29" t="str">
        <f>IF(H11&lt;&gt;"",VLOOKUP(H11,馬匹登録!$B$8:$G$54,6,FALSE),"")</f>
        <v/>
      </c>
      <c r="F11" s="254"/>
      <c r="G11" s="147"/>
      <c r="H11" s="147"/>
      <c r="I11" s="81" t="str">
        <f>IF(D11&lt;&gt;"",IF(VLOOKUP(D11,選手登録!$A$7:$H$56,8,FALSE)&lt;&gt;"",VLOOKUP(D11,選手登録!$A$7:$H$56,8,FALSE),団体登録!$B$6),"")</f>
        <v/>
      </c>
      <c r="J11" s="151"/>
      <c r="K11" s="28" t="str">
        <f>IF(AND(C11&lt;&gt;"",J11&lt;&gt;""),VLOOKUP(C11,競技一覧!$T$5:$Z$50,3+VLOOKUP(J11,リスト!$H$2:$I$5,2,FALSE),FALSE),"")</f>
        <v/>
      </c>
      <c r="L11" s="148"/>
      <c r="M11" s="264" t="str">
        <f t="shared" si="7"/>
        <v/>
      </c>
      <c r="N11" t="s">
        <v>205</v>
      </c>
      <c r="O11" s="99" t="str">
        <f t="shared" si="0"/>
        <v/>
      </c>
      <c r="P11" s="99" t="str">
        <f t="shared" si="8"/>
        <v/>
      </c>
      <c r="Q11" s="99" t="str">
        <f>IF(J11="社馬連",IF(IFERROR(VLOOKUP(I11,リスト!$E$10:$G$50,2,FALSE),2)&lt;&gt;0,$Q$1,""),"")</f>
        <v/>
      </c>
      <c r="R11" s="99" t="str">
        <f t="shared" si="9"/>
        <v/>
      </c>
      <c r="S11" s="99" t="str">
        <f>IF(F11&lt;&gt;"",IF(AND(VLOOKUP(C11,競技一覧!$T$5:$U$50,2,TRUE)="Y",OR(VLOOKUP(D11,選手登録!$A$7:$I$56,9,TRUE)="",VLOOKUP(E11,馬匹登録!$A$8:$D$54,4,TRUE)="")),$S$1,""),"")</f>
        <v/>
      </c>
      <c r="T11" s="99" t="str">
        <f t="shared" si="1"/>
        <v/>
      </c>
      <c r="U11" s="99">
        <f t="shared" si="2"/>
        <v>0</v>
      </c>
      <c r="V11" s="99" t="str">
        <f>IFERROR(VLOOKUP(C11,競技一覧!$T$5:$AA$50,8,TRUE),"")</f>
        <v/>
      </c>
      <c r="X11" s="99">
        <f t="shared" si="3"/>
        <v>6</v>
      </c>
      <c r="Y11" s="99" t="str">
        <f t="shared" si="4"/>
        <v/>
      </c>
      <c r="Z11" s="99" t="str">
        <f t="shared" si="5"/>
        <v/>
      </c>
      <c r="AA11" s="99" t="str">
        <f t="shared" si="6"/>
        <v/>
      </c>
      <c r="AB11" s="99" t="str">
        <f>IF(J11&lt;&gt;"",VLOOKUP(J11,リスト!$H$2:$I$5,2,FALSE),"")</f>
        <v/>
      </c>
      <c r="AC11" s="99" t="str">
        <f t="shared" si="12"/>
        <v/>
      </c>
      <c r="AD11" s="99" t="str">
        <f t="shared" si="11"/>
        <v/>
      </c>
    </row>
    <row r="12" spans="1:30" ht="23.25" customHeight="1" x14ac:dyDescent="0.4">
      <c r="A12" s="256">
        <v>7</v>
      </c>
      <c r="B12" s="258" t="str">
        <f>IF(F12&lt;&gt;"",VLOOKUP(F12,競技一覧!$P$5:$T$50,4,FALSE),"")</f>
        <v/>
      </c>
      <c r="C12" s="77" t="str">
        <f>IF(F12&lt;&gt;"",VLOOKUP(F12,競技一覧!$P$5:$T$50,5,FALSE),"")</f>
        <v/>
      </c>
      <c r="D12" s="29" t="str">
        <f>IF(G12&lt;&gt;"",VLOOKUP(G12,選手登録!$L$7:$O$56,4,FALSE),"")</f>
        <v/>
      </c>
      <c r="E12" s="29" t="str">
        <f>IF(H12&lt;&gt;"",VLOOKUP(H12,馬匹登録!$B$8:$G$54,6,FALSE),"")</f>
        <v/>
      </c>
      <c r="F12" s="254"/>
      <c r="G12" s="147"/>
      <c r="H12" s="147"/>
      <c r="I12" s="81" t="str">
        <f>IF(D12&lt;&gt;"",IF(VLOOKUP(D12,選手登録!$A$7:$H$56,8,FALSE)&lt;&gt;"",VLOOKUP(D12,選手登録!$A$7:$H$56,8,FALSE),団体登録!$B$6),"")</f>
        <v/>
      </c>
      <c r="J12" s="151"/>
      <c r="K12" s="28" t="str">
        <f>IF(AND(C12&lt;&gt;"",J12&lt;&gt;""),VLOOKUP(C12,競技一覧!$T$5:$Z$50,3+VLOOKUP(J12,リスト!$H$2:$I$5,2,FALSE),FALSE),"")</f>
        <v/>
      </c>
      <c r="L12" s="148"/>
      <c r="M12" s="264" t="str">
        <f t="shared" si="7"/>
        <v/>
      </c>
      <c r="N12" t="s">
        <v>205</v>
      </c>
      <c r="O12" s="99" t="str">
        <f t="shared" si="0"/>
        <v/>
      </c>
      <c r="P12" s="99" t="str">
        <f t="shared" si="8"/>
        <v/>
      </c>
      <c r="Q12" s="99" t="str">
        <f>IF(J12="社馬連",IF(IFERROR(VLOOKUP(I12,リスト!$E$10:$G$50,2,FALSE),2)&lt;&gt;0,$Q$1,""),"")</f>
        <v/>
      </c>
      <c r="R12" s="99" t="str">
        <f t="shared" si="9"/>
        <v/>
      </c>
      <c r="S12" s="99" t="str">
        <f>IF(F12&lt;&gt;"",IF(AND(VLOOKUP(C12,競技一覧!$T$5:$U$50,2,TRUE)="Y",OR(VLOOKUP(D12,選手登録!$A$7:$I$56,9,TRUE)="",VLOOKUP(E12,馬匹登録!$A$8:$D$54,4,TRUE)="")),$S$1,""),"")</f>
        <v/>
      </c>
      <c r="T12" s="99" t="str">
        <f t="shared" si="1"/>
        <v/>
      </c>
      <c r="U12" s="99">
        <f t="shared" si="2"/>
        <v>0</v>
      </c>
      <c r="V12" s="99" t="str">
        <f>IFERROR(VLOOKUP(C12,競技一覧!$T$5:$AA$50,8,TRUE),"")</f>
        <v/>
      </c>
      <c r="X12" s="99">
        <f t="shared" si="3"/>
        <v>7</v>
      </c>
      <c r="Y12" s="99" t="str">
        <f t="shared" si="4"/>
        <v/>
      </c>
      <c r="Z12" s="99" t="str">
        <f t="shared" si="5"/>
        <v/>
      </c>
      <c r="AA12" s="99" t="str">
        <f t="shared" si="6"/>
        <v/>
      </c>
      <c r="AB12" s="99" t="str">
        <f>IF(J12&lt;&gt;"",VLOOKUP(J12,リスト!$H$2:$I$5,2,FALSE),"")</f>
        <v/>
      </c>
      <c r="AC12" s="99" t="str">
        <f t="shared" si="12"/>
        <v/>
      </c>
      <c r="AD12" s="99" t="str">
        <f t="shared" si="11"/>
        <v/>
      </c>
    </row>
    <row r="13" spans="1:30" ht="23.25" customHeight="1" x14ac:dyDescent="0.4">
      <c r="A13" s="256">
        <v>8</v>
      </c>
      <c r="B13" s="258" t="str">
        <f>IF(F13&lt;&gt;"",VLOOKUP(F13,競技一覧!$P$5:$T$50,4,FALSE),"")</f>
        <v/>
      </c>
      <c r="C13" s="77" t="str">
        <f>IF(F13&lt;&gt;"",VLOOKUP(F13,競技一覧!$P$5:$T$50,5,FALSE),"")</f>
        <v/>
      </c>
      <c r="D13" s="29" t="str">
        <f>IF(G13&lt;&gt;"",VLOOKUP(G13,選手登録!$L$7:$O$56,4,FALSE),"")</f>
        <v/>
      </c>
      <c r="E13" s="29" t="str">
        <f>IF(H13&lt;&gt;"",VLOOKUP(H13,馬匹登録!$B$8:$G$54,6,FALSE),"")</f>
        <v/>
      </c>
      <c r="F13" s="254"/>
      <c r="G13" s="147"/>
      <c r="H13" s="147"/>
      <c r="I13" s="81" t="str">
        <f>IF(D13&lt;&gt;"",IF(VLOOKUP(D13,選手登録!$A$7:$H$56,8,FALSE)&lt;&gt;"",VLOOKUP(D13,選手登録!$A$7:$H$56,8,FALSE),団体登録!$B$6),"")</f>
        <v/>
      </c>
      <c r="J13" s="151"/>
      <c r="K13" s="28" t="str">
        <f>IF(AND(C13&lt;&gt;"",J13&lt;&gt;""),VLOOKUP(C13,競技一覧!$T$5:$Z$50,3+VLOOKUP(J13,リスト!$H$2:$I$5,2,FALSE),FALSE),"")</f>
        <v/>
      </c>
      <c r="L13" s="148"/>
      <c r="M13" s="264" t="str">
        <f t="shared" si="7"/>
        <v/>
      </c>
      <c r="N13" t="s">
        <v>205</v>
      </c>
      <c r="O13" s="99" t="str">
        <f t="shared" si="0"/>
        <v/>
      </c>
      <c r="P13" s="99" t="str">
        <f t="shared" si="8"/>
        <v/>
      </c>
      <c r="Q13" s="99" t="str">
        <f>IF(J13="社馬連",IF(IFERROR(VLOOKUP(I13,リスト!$E$10:$G$50,2,FALSE),2)&lt;&gt;0,$Q$1,""),"")</f>
        <v/>
      </c>
      <c r="R13" s="99" t="str">
        <f t="shared" si="9"/>
        <v/>
      </c>
      <c r="S13" s="99" t="str">
        <f>IF(F13&lt;&gt;"",IF(AND(VLOOKUP(C13,競技一覧!$T$5:$U$50,2,TRUE)="Y",OR(VLOOKUP(D13,選手登録!$A$7:$I$56,9,TRUE)="",VLOOKUP(E13,馬匹登録!$A$8:$D$54,4,TRUE)="")),$S$1,""),"")</f>
        <v/>
      </c>
      <c r="T13" s="99" t="str">
        <f t="shared" si="1"/>
        <v/>
      </c>
      <c r="U13" s="99">
        <f t="shared" si="2"/>
        <v>0</v>
      </c>
      <c r="V13" s="99" t="str">
        <f>IFERROR(VLOOKUP(C13,競技一覧!$T$5:$AA$50,8,TRUE),"")</f>
        <v/>
      </c>
      <c r="X13" s="99">
        <f t="shared" si="3"/>
        <v>8</v>
      </c>
      <c r="Y13" s="99" t="str">
        <f t="shared" si="4"/>
        <v/>
      </c>
      <c r="Z13" s="99" t="str">
        <f t="shared" si="5"/>
        <v/>
      </c>
      <c r="AA13" s="99" t="str">
        <f t="shared" si="6"/>
        <v/>
      </c>
      <c r="AB13" s="99" t="str">
        <f>IF(J13&lt;&gt;"",VLOOKUP(J13,リスト!$H$2:$I$5,2,FALSE),"")</f>
        <v/>
      </c>
      <c r="AC13" s="99" t="str">
        <f t="shared" si="12"/>
        <v/>
      </c>
      <c r="AD13" s="99" t="str">
        <f t="shared" si="11"/>
        <v/>
      </c>
    </row>
    <row r="14" spans="1:30" ht="23.25" customHeight="1" x14ac:dyDescent="0.4">
      <c r="A14" s="256">
        <v>9</v>
      </c>
      <c r="B14" s="258" t="str">
        <f>IF(F14&lt;&gt;"",VLOOKUP(F14,競技一覧!$P$5:$T$50,4,FALSE),"")</f>
        <v/>
      </c>
      <c r="C14" s="77" t="str">
        <f>IF(F14&lt;&gt;"",VLOOKUP(F14,競技一覧!$P$5:$T$50,5,FALSE),"")</f>
        <v/>
      </c>
      <c r="D14" s="29" t="str">
        <f>IF(G14&lt;&gt;"",VLOOKUP(G14,選手登録!$L$7:$O$56,4,FALSE),"")</f>
        <v/>
      </c>
      <c r="E14" s="29" t="str">
        <f>IF(H14&lt;&gt;"",VLOOKUP(H14,馬匹登録!$B$8:$G$54,6,FALSE),"")</f>
        <v/>
      </c>
      <c r="F14" s="254"/>
      <c r="G14" s="147"/>
      <c r="H14" s="147"/>
      <c r="I14" s="81" t="str">
        <f>IF(D14&lt;&gt;"",IF(VLOOKUP(D14,選手登録!$A$7:$H$56,8,FALSE)&lt;&gt;"",VLOOKUP(D14,選手登録!$A$7:$H$56,8,FALSE),団体登録!$B$6),"")</f>
        <v/>
      </c>
      <c r="J14" s="151"/>
      <c r="K14" s="28" t="str">
        <f>IF(AND(C14&lt;&gt;"",J14&lt;&gt;""),VLOOKUP(C14,競技一覧!$T$5:$Z$50,3+VLOOKUP(J14,リスト!$H$2:$I$5,2,FALSE),FALSE),"")</f>
        <v/>
      </c>
      <c r="L14" s="148"/>
      <c r="M14" s="264" t="str">
        <f t="shared" si="7"/>
        <v/>
      </c>
      <c r="N14" t="s">
        <v>205</v>
      </c>
      <c r="O14" s="99" t="str">
        <f t="shared" si="0"/>
        <v/>
      </c>
      <c r="P14" s="99" t="str">
        <f t="shared" si="8"/>
        <v/>
      </c>
      <c r="Q14" s="99" t="str">
        <f>IF(J14="社馬連",IF(IFERROR(VLOOKUP(I14,リスト!$E$10:$G$50,2,FALSE),2)&lt;&gt;0,$Q$1,""),"")</f>
        <v/>
      </c>
      <c r="R14" s="99" t="str">
        <f t="shared" si="9"/>
        <v/>
      </c>
      <c r="S14" s="99" t="str">
        <f>IF(F14&lt;&gt;"",IF(AND(VLOOKUP(C14,競技一覧!$T$5:$U$50,2,TRUE)="Y",OR(VLOOKUP(D14,選手登録!$A$7:$I$56,9,TRUE)="",VLOOKUP(E14,馬匹登録!$A$8:$D$54,4,TRUE)="")),$S$1,""),"")</f>
        <v/>
      </c>
      <c r="T14" s="99" t="str">
        <f t="shared" si="1"/>
        <v/>
      </c>
      <c r="U14" s="99">
        <f t="shared" si="2"/>
        <v>0</v>
      </c>
      <c r="V14" s="99" t="str">
        <f>IFERROR(VLOOKUP(C14,競技一覧!$T$5:$AA$50,8,TRUE),"")</f>
        <v/>
      </c>
      <c r="X14" s="99">
        <f t="shared" si="3"/>
        <v>9</v>
      </c>
      <c r="Y14" s="99" t="str">
        <f t="shared" si="4"/>
        <v/>
      </c>
      <c r="Z14" s="99" t="str">
        <f t="shared" si="5"/>
        <v/>
      </c>
      <c r="AA14" s="99" t="str">
        <f t="shared" si="6"/>
        <v/>
      </c>
      <c r="AB14" s="99" t="str">
        <f>IF(J14&lt;&gt;"",VLOOKUP(J14,リスト!$H$2:$I$5,2,FALSE),"")</f>
        <v/>
      </c>
      <c r="AC14" s="99" t="str">
        <f t="shared" si="12"/>
        <v/>
      </c>
      <c r="AD14" s="99" t="str">
        <f t="shared" si="11"/>
        <v/>
      </c>
    </row>
    <row r="15" spans="1:30" ht="23.25" customHeight="1" x14ac:dyDescent="0.4">
      <c r="A15" s="256">
        <v>10</v>
      </c>
      <c r="B15" s="258" t="str">
        <f>IF(F15&lt;&gt;"",VLOOKUP(F15,競技一覧!$P$5:$T$50,4,FALSE),"")</f>
        <v/>
      </c>
      <c r="C15" s="77" t="str">
        <f>IF(F15&lt;&gt;"",VLOOKUP(F15,競技一覧!$P$5:$T$50,5,FALSE),"")</f>
        <v/>
      </c>
      <c r="D15" s="29" t="str">
        <f>IF(G15&lt;&gt;"",VLOOKUP(G15,選手登録!$L$7:$O$56,4,FALSE),"")</f>
        <v/>
      </c>
      <c r="E15" s="29" t="str">
        <f>IF(H15&lt;&gt;"",VLOOKUP(H15,馬匹登録!$B$8:$G$54,6,FALSE),"")</f>
        <v/>
      </c>
      <c r="F15" s="254"/>
      <c r="G15" s="147"/>
      <c r="H15" s="147"/>
      <c r="I15" s="81" t="str">
        <f>IF(D15&lt;&gt;"",IF(VLOOKUP(D15,選手登録!$A$7:$H$56,8,FALSE)&lt;&gt;"",VLOOKUP(D15,選手登録!$A$7:$H$56,8,FALSE),団体登録!$B$6),"")</f>
        <v/>
      </c>
      <c r="J15" s="151"/>
      <c r="K15" s="28" t="str">
        <f>IF(AND(C15&lt;&gt;"",J15&lt;&gt;""),VLOOKUP(C15,競技一覧!$T$5:$Z$50,3+VLOOKUP(J15,リスト!$H$2:$I$5,2,FALSE),FALSE),"")</f>
        <v/>
      </c>
      <c r="L15" s="148"/>
      <c r="M15" s="264" t="str">
        <f t="shared" si="7"/>
        <v/>
      </c>
      <c r="N15" t="s">
        <v>205</v>
      </c>
      <c r="O15" s="99" t="str">
        <f t="shared" si="0"/>
        <v/>
      </c>
      <c r="P15" s="99" t="str">
        <f t="shared" si="8"/>
        <v/>
      </c>
      <c r="Q15" s="99" t="str">
        <f>IF(J15="社馬連",IF(IFERROR(VLOOKUP(I15,リスト!$E$10:$G$50,2,FALSE),2)&lt;&gt;0,$Q$1,""),"")</f>
        <v/>
      </c>
      <c r="R15" s="99" t="str">
        <f t="shared" si="9"/>
        <v/>
      </c>
      <c r="S15" s="99" t="str">
        <f>IF(F15&lt;&gt;"",IF(AND(VLOOKUP(C15,競技一覧!$T$5:$U$50,2,TRUE)="Y",OR(VLOOKUP(D15,選手登録!$A$7:$I$56,9,TRUE)="",VLOOKUP(E15,馬匹登録!$A$8:$D$54,4,TRUE)="")),$S$1,""),"")</f>
        <v/>
      </c>
      <c r="T15" s="99" t="str">
        <f t="shared" si="1"/>
        <v/>
      </c>
      <c r="U15" s="99">
        <f t="shared" si="2"/>
        <v>0</v>
      </c>
      <c r="V15" s="99" t="str">
        <f>IFERROR(VLOOKUP(C15,競技一覧!$T$5:$AA$50,8,TRUE),"")</f>
        <v/>
      </c>
      <c r="X15" s="99">
        <f t="shared" si="3"/>
        <v>10</v>
      </c>
      <c r="Y15" s="99" t="str">
        <f t="shared" si="4"/>
        <v/>
      </c>
      <c r="Z15" s="99" t="str">
        <f t="shared" si="5"/>
        <v/>
      </c>
      <c r="AA15" s="99" t="str">
        <f t="shared" si="6"/>
        <v/>
      </c>
      <c r="AB15" s="99" t="str">
        <f>IF(J15&lt;&gt;"",VLOOKUP(J15,リスト!$H$2:$I$5,2,FALSE),"")</f>
        <v/>
      </c>
      <c r="AC15" s="99" t="str">
        <f t="shared" si="12"/>
        <v/>
      </c>
      <c r="AD15" s="99" t="str">
        <f t="shared" si="11"/>
        <v/>
      </c>
    </row>
    <row r="16" spans="1:30" ht="23.25" customHeight="1" x14ac:dyDescent="0.4">
      <c r="A16" s="256">
        <v>11</v>
      </c>
      <c r="B16" s="258" t="str">
        <f>IF(F16&lt;&gt;"",VLOOKUP(F16,競技一覧!$P$5:$T$50,4,FALSE),"")</f>
        <v/>
      </c>
      <c r="C16" s="77" t="str">
        <f>IF(F16&lt;&gt;"",VLOOKUP(F16,競技一覧!$P$5:$T$50,5,FALSE),"")</f>
        <v/>
      </c>
      <c r="D16" s="29" t="str">
        <f>IF(G16&lt;&gt;"",VLOOKUP(G16,選手登録!$L$7:$O$56,4,FALSE),"")</f>
        <v/>
      </c>
      <c r="E16" s="29" t="str">
        <f>IF(H16&lt;&gt;"",VLOOKUP(H16,馬匹登録!$B$8:$G$54,6,FALSE),"")</f>
        <v/>
      </c>
      <c r="F16" s="254"/>
      <c r="G16" s="147"/>
      <c r="H16" s="147"/>
      <c r="I16" s="81" t="str">
        <f>IF(D16&lt;&gt;"",IF(VLOOKUP(D16,選手登録!$A$7:$H$56,8,FALSE)&lt;&gt;"",VLOOKUP(D16,選手登録!$A$7:$H$56,8,FALSE),団体登録!$B$6),"")</f>
        <v/>
      </c>
      <c r="J16" s="151"/>
      <c r="K16" s="28" t="str">
        <f>IF(AND(C16&lt;&gt;"",J16&lt;&gt;""),VLOOKUP(C16,競技一覧!$T$5:$Z$50,3+VLOOKUP(J16,リスト!$H$2:$I$5,2,FALSE),FALSE),"")</f>
        <v/>
      </c>
      <c r="L16" s="148"/>
      <c r="M16" s="264" t="str">
        <f t="shared" si="7"/>
        <v/>
      </c>
      <c r="N16" t="s">
        <v>205</v>
      </c>
      <c r="O16" s="99" t="str">
        <f t="shared" si="0"/>
        <v/>
      </c>
      <c r="P16" s="99" t="str">
        <f t="shared" si="8"/>
        <v/>
      </c>
      <c r="Q16" s="99" t="str">
        <f>IF(J16="社馬連",IF(IFERROR(VLOOKUP(I16,リスト!$E$10:$G$50,2,FALSE),2)&lt;&gt;0,$Q$1,""),"")</f>
        <v/>
      </c>
      <c r="R16" s="99" t="str">
        <f t="shared" si="9"/>
        <v/>
      </c>
      <c r="S16" s="99" t="str">
        <f>IF(F16&lt;&gt;"",IF(AND(VLOOKUP(C16,競技一覧!$T$5:$U$50,2,TRUE)="Y",OR(VLOOKUP(D16,選手登録!$A$7:$I$56,9,TRUE)="",VLOOKUP(E16,馬匹登録!$A$8:$D$54,4,TRUE)="")),$S$1,""),"")</f>
        <v/>
      </c>
      <c r="T16" s="99" t="str">
        <f t="shared" si="1"/>
        <v/>
      </c>
      <c r="U16" s="99">
        <f t="shared" si="2"/>
        <v>0</v>
      </c>
      <c r="V16" s="99" t="str">
        <f>IFERROR(VLOOKUP(C16,競技一覧!$T$5:$AA$50,8,TRUE),"")</f>
        <v/>
      </c>
      <c r="X16" s="99">
        <f t="shared" si="3"/>
        <v>11</v>
      </c>
      <c r="Y16" s="99" t="str">
        <f t="shared" si="4"/>
        <v/>
      </c>
      <c r="Z16" s="99" t="str">
        <f t="shared" si="5"/>
        <v/>
      </c>
      <c r="AA16" s="99" t="str">
        <f t="shared" si="6"/>
        <v/>
      </c>
      <c r="AB16" s="99" t="str">
        <f>IF(J16&lt;&gt;"",VLOOKUP(J16,リスト!$H$2:$I$5,2,FALSE),"")</f>
        <v/>
      </c>
      <c r="AC16" s="99" t="str">
        <f t="shared" si="12"/>
        <v/>
      </c>
      <c r="AD16" s="99" t="str">
        <f t="shared" si="11"/>
        <v/>
      </c>
    </row>
    <row r="17" spans="1:30" ht="23.25" customHeight="1" x14ac:dyDescent="0.4">
      <c r="A17" s="256">
        <v>12</v>
      </c>
      <c r="B17" s="258" t="str">
        <f>IF(F17&lt;&gt;"",VLOOKUP(F17,競技一覧!$P$5:$T$50,4,FALSE),"")</f>
        <v/>
      </c>
      <c r="C17" s="77" t="str">
        <f>IF(F17&lt;&gt;"",VLOOKUP(F17,競技一覧!$P$5:$T$50,5,FALSE),"")</f>
        <v/>
      </c>
      <c r="D17" s="29" t="str">
        <f>IF(G17&lt;&gt;"",VLOOKUP(G17,選手登録!$L$7:$O$56,4,FALSE),"")</f>
        <v/>
      </c>
      <c r="E17" s="29" t="str">
        <f>IF(H17&lt;&gt;"",VLOOKUP(H17,馬匹登録!$B$8:$G$54,6,FALSE),"")</f>
        <v/>
      </c>
      <c r="F17" s="254"/>
      <c r="G17" s="147"/>
      <c r="H17" s="147"/>
      <c r="I17" s="81" t="str">
        <f>IF(D17&lt;&gt;"",IF(VLOOKUP(D17,選手登録!$A$7:$H$56,8,FALSE)&lt;&gt;"",VLOOKUP(D17,選手登録!$A$7:$H$56,8,FALSE),団体登録!$B$6),"")</f>
        <v/>
      </c>
      <c r="J17" s="151"/>
      <c r="K17" s="28" t="str">
        <f>IF(AND(C17&lt;&gt;"",J17&lt;&gt;""),VLOOKUP(C17,競技一覧!$T$5:$Z$50,3+VLOOKUP(J17,リスト!$H$2:$I$5,2,FALSE),FALSE),"")</f>
        <v/>
      </c>
      <c r="L17" s="148"/>
      <c r="M17" s="264" t="str">
        <f t="shared" si="7"/>
        <v/>
      </c>
      <c r="N17" t="s">
        <v>205</v>
      </c>
      <c r="O17" s="99" t="str">
        <f t="shared" si="0"/>
        <v/>
      </c>
      <c r="P17" s="99" t="str">
        <f t="shared" si="8"/>
        <v/>
      </c>
      <c r="Q17" s="99" t="str">
        <f>IF(J17="社馬連",IF(IFERROR(VLOOKUP(I17,リスト!$E$10:$G$50,2,FALSE),2)&lt;&gt;0,$Q$1,""),"")</f>
        <v/>
      </c>
      <c r="R17" s="99" t="str">
        <f t="shared" si="9"/>
        <v/>
      </c>
      <c r="S17" s="99" t="str">
        <f>IF(F17&lt;&gt;"",IF(AND(VLOOKUP(C17,競技一覧!$T$5:$U$50,2,TRUE)="Y",OR(VLOOKUP(D17,選手登録!$A$7:$I$56,9,TRUE)="",VLOOKUP(E17,馬匹登録!$A$8:$D$54,4,TRUE)="")),$S$1,""),"")</f>
        <v/>
      </c>
      <c r="T17" s="99" t="str">
        <f t="shared" si="1"/>
        <v/>
      </c>
      <c r="U17" s="99">
        <f t="shared" si="2"/>
        <v>0</v>
      </c>
      <c r="V17" s="99" t="str">
        <f>IFERROR(VLOOKUP(C17,競技一覧!$T$5:$AA$50,8,TRUE),"")</f>
        <v/>
      </c>
      <c r="X17" s="99">
        <f t="shared" si="3"/>
        <v>12</v>
      </c>
      <c r="Y17" s="99" t="str">
        <f t="shared" si="4"/>
        <v/>
      </c>
      <c r="Z17" s="99" t="str">
        <f t="shared" si="5"/>
        <v/>
      </c>
      <c r="AA17" s="99" t="str">
        <f t="shared" si="6"/>
        <v/>
      </c>
      <c r="AB17" s="99" t="str">
        <f>IF(J17&lt;&gt;"",VLOOKUP(J17,リスト!$H$2:$I$5,2,FALSE),"")</f>
        <v/>
      </c>
      <c r="AC17" s="99" t="str">
        <f t="shared" si="12"/>
        <v/>
      </c>
      <c r="AD17" s="99" t="str">
        <f t="shared" si="11"/>
        <v/>
      </c>
    </row>
    <row r="18" spans="1:30" ht="23.25" customHeight="1" x14ac:dyDescent="0.4">
      <c r="A18" s="256">
        <v>13</v>
      </c>
      <c r="B18" s="258" t="str">
        <f>IF(F18&lt;&gt;"",VLOOKUP(F18,競技一覧!$P$5:$T$50,4,FALSE),"")</f>
        <v/>
      </c>
      <c r="C18" s="77" t="str">
        <f>IF(F18&lt;&gt;"",VLOOKUP(F18,競技一覧!$P$5:$T$50,5,FALSE),"")</f>
        <v/>
      </c>
      <c r="D18" s="29" t="str">
        <f>IF(G18&lt;&gt;"",VLOOKUP(G18,選手登録!$L$7:$O$56,4,FALSE),"")</f>
        <v/>
      </c>
      <c r="E18" s="29" t="str">
        <f>IF(H18&lt;&gt;"",VLOOKUP(H18,馬匹登録!$B$8:$G$54,6,FALSE),"")</f>
        <v/>
      </c>
      <c r="F18" s="254"/>
      <c r="G18" s="147"/>
      <c r="H18" s="147"/>
      <c r="I18" s="81" t="str">
        <f>IF(D18&lt;&gt;"",IF(VLOOKUP(D18,選手登録!$A$7:$H$56,8,FALSE)&lt;&gt;"",VLOOKUP(D18,選手登録!$A$7:$H$56,8,FALSE),団体登録!$B$6),"")</f>
        <v/>
      </c>
      <c r="J18" s="151"/>
      <c r="K18" s="28" t="str">
        <f>IF(AND(C18&lt;&gt;"",J18&lt;&gt;""),VLOOKUP(C18,競技一覧!$T$5:$Z$50,3+VLOOKUP(J18,リスト!$H$2:$I$5,2,FALSE),FALSE),"")</f>
        <v/>
      </c>
      <c r="L18" s="148"/>
      <c r="M18" s="264" t="str">
        <f t="shared" si="7"/>
        <v/>
      </c>
      <c r="N18" t="s">
        <v>205</v>
      </c>
      <c r="O18" s="99" t="str">
        <f t="shared" si="0"/>
        <v/>
      </c>
      <c r="P18" s="99" t="str">
        <f t="shared" si="8"/>
        <v/>
      </c>
      <c r="Q18" s="99" t="str">
        <f>IF(J18="社馬連",IF(IFERROR(VLOOKUP(I18,リスト!$E$10:$G$50,2,FALSE),2)&lt;&gt;0,$Q$1,""),"")</f>
        <v/>
      </c>
      <c r="R18" s="99" t="str">
        <f t="shared" si="9"/>
        <v/>
      </c>
      <c r="S18" s="99" t="str">
        <f>IF(F18&lt;&gt;"",IF(AND(VLOOKUP(C18,競技一覧!$T$5:$U$50,2,TRUE)="Y",OR(VLOOKUP(D18,選手登録!$A$7:$I$56,9,TRUE)="",VLOOKUP(E18,馬匹登録!$A$8:$D$54,4,TRUE)="")),$S$1,""),"")</f>
        <v/>
      </c>
      <c r="T18" s="99" t="str">
        <f t="shared" si="1"/>
        <v/>
      </c>
      <c r="U18" s="99">
        <f t="shared" si="2"/>
        <v>0</v>
      </c>
      <c r="V18" s="99" t="str">
        <f>IFERROR(VLOOKUP(C18,競技一覧!$T$5:$AA$50,8,TRUE),"")</f>
        <v/>
      </c>
      <c r="X18" s="99">
        <f t="shared" si="3"/>
        <v>13</v>
      </c>
      <c r="Y18" s="99" t="str">
        <f t="shared" si="4"/>
        <v/>
      </c>
      <c r="Z18" s="99" t="str">
        <f t="shared" si="5"/>
        <v/>
      </c>
      <c r="AA18" s="99" t="str">
        <f t="shared" si="6"/>
        <v/>
      </c>
      <c r="AB18" s="99" t="str">
        <f>IF(J18&lt;&gt;"",VLOOKUP(J18,リスト!$H$2:$I$5,2,FALSE),"")</f>
        <v/>
      </c>
      <c r="AC18" s="99" t="str">
        <f t="shared" si="12"/>
        <v/>
      </c>
      <c r="AD18" s="99" t="str">
        <f t="shared" si="11"/>
        <v/>
      </c>
    </row>
    <row r="19" spans="1:30" ht="23.25" customHeight="1" x14ac:dyDescent="0.4">
      <c r="A19" s="256">
        <v>14</v>
      </c>
      <c r="B19" s="258" t="str">
        <f>IF(F19&lt;&gt;"",VLOOKUP(F19,競技一覧!$P$5:$T$50,4,FALSE),"")</f>
        <v/>
      </c>
      <c r="C19" s="77" t="str">
        <f>IF(F19&lt;&gt;"",VLOOKUP(F19,競技一覧!$P$5:$T$50,5,FALSE),"")</f>
        <v/>
      </c>
      <c r="D19" s="29" t="str">
        <f>IF(G19&lt;&gt;"",VLOOKUP(G19,選手登録!$L$7:$O$56,4,FALSE),"")</f>
        <v/>
      </c>
      <c r="E19" s="29" t="str">
        <f>IF(H19&lt;&gt;"",VLOOKUP(H19,馬匹登録!$B$8:$G$54,6,FALSE),"")</f>
        <v/>
      </c>
      <c r="F19" s="254"/>
      <c r="G19" s="147"/>
      <c r="H19" s="147"/>
      <c r="I19" s="81" t="str">
        <f>IF(D19&lt;&gt;"",IF(VLOOKUP(D19,選手登録!$A$7:$H$56,8,FALSE)&lt;&gt;"",VLOOKUP(D19,選手登録!$A$7:$H$56,8,FALSE),団体登録!$B$6),"")</f>
        <v/>
      </c>
      <c r="J19" s="151"/>
      <c r="K19" s="28" t="str">
        <f>IF(AND(C19&lt;&gt;"",J19&lt;&gt;""),VLOOKUP(C19,競技一覧!$T$5:$Z$50,3+VLOOKUP(J19,リスト!$H$2:$I$5,2,FALSE),FALSE),"")</f>
        <v/>
      </c>
      <c r="L19" s="148"/>
      <c r="M19" s="264" t="str">
        <f t="shared" si="7"/>
        <v/>
      </c>
      <c r="N19" t="s">
        <v>205</v>
      </c>
      <c r="O19" s="99" t="str">
        <f t="shared" si="0"/>
        <v/>
      </c>
      <c r="P19" s="99" t="str">
        <f t="shared" si="8"/>
        <v/>
      </c>
      <c r="Q19" s="99" t="str">
        <f>IF(J19="社馬連",IF(IFERROR(VLOOKUP(I19,リスト!$E$10:$G$50,2,FALSE),2)&lt;&gt;0,$Q$1,""),"")</f>
        <v/>
      </c>
      <c r="R19" s="99" t="str">
        <f t="shared" si="9"/>
        <v/>
      </c>
      <c r="S19" s="99" t="str">
        <f>IF(F19&lt;&gt;"",IF(AND(VLOOKUP(C19,競技一覧!$T$5:$U$50,2,TRUE)="Y",OR(VLOOKUP(D19,選手登録!$A$7:$I$56,9,TRUE)="",VLOOKUP(E19,馬匹登録!$A$8:$D$54,4,TRUE)="")),$S$1,""),"")</f>
        <v/>
      </c>
      <c r="T19" s="99" t="str">
        <f t="shared" si="1"/>
        <v/>
      </c>
      <c r="U19" s="99">
        <f t="shared" si="2"/>
        <v>0</v>
      </c>
      <c r="V19" s="99" t="str">
        <f>IFERROR(VLOOKUP(C19,競技一覧!$T$5:$AA$50,8,TRUE),"")</f>
        <v/>
      </c>
      <c r="X19" s="99">
        <f t="shared" si="3"/>
        <v>14</v>
      </c>
      <c r="Y19" s="99" t="str">
        <f t="shared" si="4"/>
        <v/>
      </c>
      <c r="Z19" s="99" t="str">
        <f t="shared" si="5"/>
        <v/>
      </c>
      <c r="AA19" s="99" t="str">
        <f t="shared" si="6"/>
        <v/>
      </c>
      <c r="AB19" s="99" t="str">
        <f>IF(J19&lt;&gt;"",VLOOKUP(J19,リスト!$H$2:$I$5,2,FALSE),"")</f>
        <v/>
      </c>
      <c r="AC19" s="99" t="str">
        <f t="shared" si="12"/>
        <v/>
      </c>
      <c r="AD19" s="99" t="str">
        <f t="shared" si="11"/>
        <v/>
      </c>
    </row>
    <row r="20" spans="1:30" ht="23.25" customHeight="1" x14ac:dyDescent="0.4">
      <c r="A20" s="256">
        <v>15</v>
      </c>
      <c r="B20" s="258" t="str">
        <f>IF(F20&lt;&gt;"",VLOOKUP(F20,競技一覧!$P$5:$T$50,4,FALSE),"")</f>
        <v/>
      </c>
      <c r="C20" s="77" t="str">
        <f>IF(F20&lt;&gt;"",VLOOKUP(F20,競技一覧!$P$5:$T$50,5,FALSE),"")</f>
        <v/>
      </c>
      <c r="D20" s="29" t="str">
        <f>IF(G20&lt;&gt;"",VLOOKUP(G20,選手登録!$L$7:$O$56,4,FALSE),"")</f>
        <v/>
      </c>
      <c r="E20" s="29" t="str">
        <f>IF(H20&lt;&gt;"",VLOOKUP(H20,馬匹登録!$B$8:$G$54,6,FALSE),"")</f>
        <v/>
      </c>
      <c r="F20" s="254"/>
      <c r="G20" s="147"/>
      <c r="H20" s="147"/>
      <c r="I20" s="81" t="str">
        <f>IF(D20&lt;&gt;"",IF(VLOOKUP(D20,選手登録!$A$7:$H$56,8,FALSE)&lt;&gt;"",VLOOKUP(D20,選手登録!$A$7:$H$56,8,FALSE),団体登録!$B$6),"")</f>
        <v/>
      </c>
      <c r="J20" s="151"/>
      <c r="K20" s="28" t="str">
        <f>IF(AND(C20&lt;&gt;"",J20&lt;&gt;""),VLOOKUP(C20,競技一覧!$T$5:$Z$50,3+VLOOKUP(J20,リスト!$H$2:$I$5,2,FALSE),FALSE),"")</f>
        <v/>
      </c>
      <c r="L20" s="148"/>
      <c r="M20" s="264" t="str">
        <f t="shared" si="7"/>
        <v/>
      </c>
      <c r="N20" t="s">
        <v>205</v>
      </c>
      <c r="O20" s="99" t="str">
        <f t="shared" si="0"/>
        <v/>
      </c>
      <c r="P20" s="99" t="str">
        <f t="shared" si="8"/>
        <v/>
      </c>
      <c r="Q20" s="99" t="str">
        <f>IF(J20="社馬連",IF(IFERROR(VLOOKUP(I20,リスト!$E$10:$G$50,2,FALSE),2)&lt;&gt;0,$Q$1,""),"")</f>
        <v/>
      </c>
      <c r="R20" s="99" t="str">
        <f t="shared" si="9"/>
        <v/>
      </c>
      <c r="S20" s="99" t="str">
        <f>IF(F20&lt;&gt;"",IF(AND(VLOOKUP(C20,競技一覧!$T$5:$U$50,2,TRUE)="Y",OR(VLOOKUP(D20,選手登録!$A$7:$I$56,9,TRUE)="",VLOOKUP(E20,馬匹登録!$A$8:$D$54,4,TRUE)="")),$S$1,""),"")</f>
        <v/>
      </c>
      <c r="T20" s="99" t="str">
        <f t="shared" si="1"/>
        <v/>
      </c>
      <c r="U20" s="99">
        <f t="shared" si="2"/>
        <v>0</v>
      </c>
      <c r="V20" s="99" t="str">
        <f>IFERROR(VLOOKUP(C20,競技一覧!$T$5:$AA$50,8,TRUE),"")</f>
        <v/>
      </c>
      <c r="X20" s="99">
        <f t="shared" si="3"/>
        <v>15</v>
      </c>
      <c r="Y20" s="99" t="str">
        <f t="shared" si="4"/>
        <v/>
      </c>
      <c r="Z20" s="99" t="str">
        <f t="shared" si="5"/>
        <v/>
      </c>
      <c r="AA20" s="99" t="str">
        <f t="shared" si="6"/>
        <v/>
      </c>
      <c r="AB20" s="99" t="str">
        <f>IF(J20&lt;&gt;"",VLOOKUP(J20,リスト!$H$2:$I$5,2,FALSE),"")</f>
        <v/>
      </c>
      <c r="AC20" s="99" t="str">
        <f t="shared" si="12"/>
        <v/>
      </c>
      <c r="AD20" s="99" t="str">
        <f t="shared" si="11"/>
        <v/>
      </c>
    </row>
    <row r="21" spans="1:30" ht="23.25" customHeight="1" x14ac:dyDescent="0.4">
      <c r="A21" s="256">
        <v>16</v>
      </c>
      <c r="B21" s="258" t="str">
        <f>IF(F21&lt;&gt;"",VLOOKUP(F21,競技一覧!$P$5:$T$50,4,FALSE),"")</f>
        <v/>
      </c>
      <c r="C21" s="77" t="str">
        <f>IF(F21&lt;&gt;"",VLOOKUP(F21,競技一覧!$P$5:$T$50,5,FALSE),"")</f>
        <v/>
      </c>
      <c r="D21" s="29" t="str">
        <f>IF(G21&lt;&gt;"",VLOOKUP(G21,選手登録!$L$7:$O$56,4,FALSE),"")</f>
        <v/>
      </c>
      <c r="E21" s="29" t="str">
        <f>IF(H21&lt;&gt;"",VLOOKUP(H21,馬匹登録!$B$8:$G$54,6,FALSE),"")</f>
        <v/>
      </c>
      <c r="F21" s="254"/>
      <c r="G21" s="147"/>
      <c r="H21" s="147"/>
      <c r="I21" s="81" t="str">
        <f>IF(D21&lt;&gt;"",IF(VLOOKUP(D21,選手登録!$A$7:$H$56,8,FALSE)&lt;&gt;"",VLOOKUP(D21,選手登録!$A$7:$H$56,8,FALSE),団体登録!$B$6),"")</f>
        <v/>
      </c>
      <c r="J21" s="151"/>
      <c r="K21" s="28" t="str">
        <f>IF(AND(C21&lt;&gt;"",J21&lt;&gt;""),VLOOKUP(C21,競技一覧!$T$5:$Z$50,3+VLOOKUP(J21,リスト!$H$2:$I$5,2,FALSE),FALSE),"")</f>
        <v/>
      </c>
      <c r="L21" s="148"/>
      <c r="M21" s="264" t="str">
        <f t="shared" si="7"/>
        <v/>
      </c>
      <c r="N21" t="s">
        <v>205</v>
      </c>
      <c r="O21" s="99" t="str">
        <f t="shared" si="0"/>
        <v/>
      </c>
      <c r="P21" s="99" t="str">
        <f t="shared" si="8"/>
        <v/>
      </c>
      <c r="Q21" s="99" t="str">
        <f>IF(J21="社馬連",IF(IFERROR(VLOOKUP(I21,リスト!$E$10:$G$50,2,FALSE),2)&lt;&gt;0,$Q$1,""),"")</f>
        <v/>
      </c>
      <c r="R21" s="99" t="str">
        <f t="shared" si="9"/>
        <v/>
      </c>
      <c r="S21" s="99" t="str">
        <f>IF(F21&lt;&gt;"",IF(AND(VLOOKUP(C21,競技一覧!$T$5:$U$50,2,TRUE)="Y",OR(VLOOKUP(D21,選手登録!$A$7:$I$56,9,TRUE)="",VLOOKUP(E21,馬匹登録!$A$8:$D$54,4,TRUE)="")),$S$1,""),"")</f>
        <v/>
      </c>
      <c r="T21" s="99" t="str">
        <f t="shared" si="1"/>
        <v/>
      </c>
      <c r="U21" s="99">
        <f t="shared" si="2"/>
        <v>0</v>
      </c>
      <c r="V21" s="99" t="str">
        <f>IFERROR(VLOOKUP(C21,競技一覧!$T$5:$AA$50,8,TRUE),"")</f>
        <v/>
      </c>
      <c r="X21" s="99">
        <f t="shared" si="3"/>
        <v>16</v>
      </c>
      <c r="Y21" s="99" t="str">
        <f t="shared" si="4"/>
        <v/>
      </c>
      <c r="Z21" s="99" t="str">
        <f t="shared" si="5"/>
        <v/>
      </c>
      <c r="AA21" s="99" t="str">
        <f t="shared" si="6"/>
        <v/>
      </c>
      <c r="AB21" s="99" t="str">
        <f>IF(J21&lt;&gt;"",VLOOKUP(J21,リスト!$H$2:$I$5,2,FALSE),"")</f>
        <v/>
      </c>
      <c r="AC21" s="99" t="str">
        <f t="shared" si="12"/>
        <v/>
      </c>
      <c r="AD21" s="99" t="str">
        <f t="shared" si="11"/>
        <v/>
      </c>
    </row>
    <row r="22" spans="1:30" ht="23.25" customHeight="1" x14ac:dyDescent="0.4">
      <c r="A22" s="256">
        <v>17</v>
      </c>
      <c r="B22" s="258" t="str">
        <f>IF(F22&lt;&gt;"",VLOOKUP(F22,競技一覧!$P$5:$T$50,4,FALSE),"")</f>
        <v/>
      </c>
      <c r="C22" s="77" t="str">
        <f>IF(F22&lt;&gt;"",VLOOKUP(F22,競技一覧!$P$5:$T$50,5,FALSE),"")</f>
        <v/>
      </c>
      <c r="D22" s="29" t="str">
        <f>IF(G22&lt;&gt;"",VLOOKUP(G22,選手登録!$L$7:$O$56,4,FALSE),"")</f>
        <v/>
      </c>
      <c r="E22" s="29" t="str">
        <f>IF(H22&lt;&gt;"",VLOOKUP(H22,馬匹登録!$B$8:$G$54,6,FALSE),"")</f>
        <v/>
      </c>
      <c r="F22" s="254"/>
      <c r="G22" s="147"/>
      <c r="H22" s="147"/>
      <c r="I22" s="81" t="str">
        <f>IF(D22&lt;&gt;"",IF(VLOOKUP(D22,選手登録!$A$7:$H$56,8,FALSE)&lt;&gt;"",VLOOKUP(D22,選手登録!$A$7:$H$56,8,FALSE),団体登録!$B$6),"")</f>
        <v/>
      </c>
      <c r="J22" s="151"/>
      <c r="K22" s="28" t="str">
        <f>IF(AND(C22&lt;&gt;"",J22&lt;&gt;""),VLOOKUP(C22,競技一覧!$T$5:$Z$50,3+VLOOKUP(J22,リスト!$H$2:$I$5,2,FALSE),FALSE),"")</f>
        <v/>
      </c>
      <c r="L22" s="148"/>
      <c r="M22" s="264" t="str">
        <f t="shared" si="7"/>
        <v/>
      </c>
      <c r="N22" t="s">
        <v>205</v>
      </c>
      <c r="O22" s="99" t="str">
        <f t="shared" si="0"/>
        <v/>
      </c>
      <c r="P22" s="99" t="str">
        <f t="shared" si="8"/>
        <v/>
      </c>
      <c r="Q22" s="99" t="str">
        <f>IF(J22="社馬連",IF(IFERROR(VLOOKUP(I22,リスト!$E$10:$G$50,2,FALSE),2)&lt;&gt;0,$Q$1,""),"")</f>
        <v/>
      </c>
      <c r="R22" s="99" t="str">
        <f t="shared" si="9"/>
        <v/>
      </c>
      <c r="S22" s="99" t="str">
        <f>IF(F22&lt;&gt;"",IF(AND(VLOOKUP(C22,競技一覧!$T$5:$U$50,2,TRUE)="Y",OR(VLOOKUP(D22,選手登録!$A$7:$I$56,9,TRUE)="",VLOOKUP(E22,馬匹登録!$A$8:$D$54,4,TRUE)="")),$S$1,""),"")</f>
        <v/>
      </c>
      <c r="T22" s="99" t="str">
        <f t="shared" si="1"/>
        <v/>
      </c>
      <c r="U22" s="99">
        <f t="shared" si="2"/>
        <v>0</v>
      </c>
      <c r="V22" s="99" t="str">
        <f>IFERROR(VLOOKUP(C22,競技一覧!$T$5:$AA$50,8,TRUE),"")</f>
        <v/>
      </c>
      <c r="X22" s="99">
        <f t="shared" si="3"/>
        <v>17</v>
      </c>
      <c r="Y22" s="99" t="str">
        <f t="shared" si="4"/>
        <v/>
      </c>
      <c r="Z22" s="99" t="str">
        <f t="shared" si="5"/>
        <v/>
      </c>
      <c r="AA22" s="99" t="str">
        <f t="shared" si="6"/>
        <v/>
      </c>
      <c r="AB22" s="99" t="str">
        <f>IF(J22&lt;&gt;"",VLOOKUP(J22,リスト!$H$2:$I$5,2,FALSE),"")</f>
        <v/>
      </c>
      <c r="AC22" s="99" t="str">
        <f t="shared" si="12"/>
        <v/>
      </c>
      <c r="AD22" s="99" t="str">
        <f t="shared" si="11"/>
        <v/>
      </c>
    </row>
    <row r="23" spans="1:30" ht="23.25" customHeight="1" x14ac:dyDescent="0.4">
      <c r="A23" s="256">
        <v>18</v>
      </c>
      <c r="B23" s="258" t="str">
        <f>IF(F23&lt;&gt;"",VLOOKUP(F23,競技一覧!$P$5:$T$50,4,FALSE),"")</f>
        <v/>
      </c>
      <c r="C23" s="77" t="str">
        <f>IF(F23&lt;&gt;"",VLOOKUP(F23,競技一覧!$P$5:$T$50,5,FALSE),"")</f>
        <v/>
      </c>
      <c r="D23" s="29" t="str">
        <f>IF(G23&lt;&gt;"",VLOOKUP(G23,選手登録!$L$7:$O$56,4,FALSE),"")</f>
        <v/>
      </c>
      <c r="E23" s="29" t="str">
        <f>IF(H23&lt;&gt;"",VLOOKUP(H23,馬匹登録!$B$8:$G$54,6,FALSE),"")</f>
        <v/>
      </c>
      <c r="F23" s="254"/>
      <c r="G23" s="147"/>
      <c r="H23" s="147"/>
      <c r="I23" s="81" t="str">
        <f>IF(D23&lt;&gt;"",IF(VLOOKUP(D23,選手登録!$A$7:$H$56,8,FALSE)&lt;&gt;"",VLOOKUP(D23,選手登録!$A$7:$H$56,8,FALSE),団体登録!$B$6),"")</f>
        <v/>
      </c>
      <c r="J23" s="151"/>
      <c r="K23" s="28" t="str">
        <f>IF(AND(C23&lt;&gt;"",J23&lt;&gt;""),VLOOKUP(C23,競技一覧!$T$5:$Z$50,3+VLOOKUP(J23,リスト!$H$2:$I$5,2,FALSE),FALSE),"")</f>
        <v/>
      </c>
      <c r="L23" s="148"/>
      <c r="M23" s="264" t="str">
        <f t="shared" si="7"/>
        <v/>
      </c>
      <c r="N23" t="s">
        <v>205</v>
      </c>
      <c r="O23" s="99" t="str">
        <f t="shared" si="0"/>
        <v/>
      </c>
      <c r="P23" s="99" t="str">
        <f t="shared" si="8"/>
        <v/>
      </c>
      <c r="Q23" s="99" t="str">
        <f>IF(J23="社馬連",IF(IFERROR(VLOOKUP(I23,リスト!$E$10:$G$50,2,FALSE),2)&lt;&gt;0,$Q$1,""),"")</f>
        <v/>
      </c>
      <c r="R23" s="99" t="str">
        <f t="shared" si="9"/>
        <v/>
      </c>
      <c r="S23" s="99" t="str">
        <f>IF(F23&lt;&gt;"",IF(AND(VLOOKUP(C23,競技一覧!$T$5:$U$50,2,TRUE)="Y",OR(VLOOKUP(D23,選手登録!$A$7:$I$56,9,TRUE)="",VLOOKUP(E23,馬匹登録!$A$8:$D$54,4,TRUE)="")),$S$1,""),"")</f>
        <v/>
      </c>
      <c r="T23" s="99" t="str">
        <f t="shared" si="1"/>
        <v/>
      </c>
      <c r="U23" s="99">
        <f t="shared" si="2"/>
        <v>0</v>
      </c>
      <c r="V23" s="99" t="str">
        <f>IFERROR(VLOOKUP(C23,競技一覧!$T$5:$AA$50,8,TRUE),"")</f>
        <v/>
      </c>
      <c r="X23" s="99">
        <f t="shared" si="3"/>
        <v>18</v>
      </c>
      <c r="Y23" s="99" t="str">
        <f t="shared" si="4"/>
        <v/>
      </c>
      <c r="Z23" s="99" t="str">
        <f t="shared" si="5"/>
        <v/>
      </c>
      <c r="AA23" s="99" t="str">
        <f t="shared" si="6"/>
        <v/>
      </c>
      <c r="AB23" s="99" t="str">
        <f>IF(J23&lt;&gt;"",VLOOKUP(J23,リスト!$H$2:$I$5,2,FALSE),"")</f>
        <v/>
      </c>
      <c r="AC23" s="99" t="str">
        <f t="shared" si="12"/>
        <v/>
      </c>
      <c r="AD23" s="99" t="str">
        <f t="shared" si="11"/>
        <v/>
      </c>
    </row>
    <row r="24" spans="1:30" ht="23.25" customHeight="1" x14ac:dyDescent="0.4">
      <c r="A24" s="256">
        <v>19</v>
      </c>
      <c r="B24" s="258" t="str">
        <f>IF(F24&lt;&gt;"",VLOOKUP(F24,競技一覧!$P$5:$T$50,4,FALSE),"")</f>
        <v/>
      </c>
      <c r="C24" s="77" t="str">
        <f>IF(F24&lt;&gt;"",VLOOKUP(F24,競技一覧!$P$5:$T$50,5,FALSE),"")</f>
        <v/>
      </c>
      <c r="D24" s="29" t="str">
        <f>IF(G24&lt;&gt;"",VLOOKUP(G24,選手登録!$L$7:$O$56,4,FALSE),"")</f>
        <v/>
      </c>
      <c r="E24" s="29" t="str">
        <f>IF(H24&lt;&gt;"",VLOOKUP(H24,馬匹登録!$B$8:$G$54,6,FALSE),"")</f>
        <v/>
      </c>
      <c r="F24" s="254"/>
      <c r="G24" s="147"/>
      <c r="H24" s="147"/>
      <c r="I24" s="81" t="str">
        <f>IF(D24&lt;&gt;"",IF(VLOOKUP(D24,選手登録!$A$7:$H$56,8,FALSE)&lt;&gt;"",VLOOKUP(D24,選手登録!$A$7:$H$56,8,FALSE),団体登録!$B$6),"")</f>
        <v/>
      </c>
      <c r="J24" s="151"/>
      <c r="K24" s="28" t="str">
        <f>IF(AND(C24&lt;&gt;"",J24&lt;&gt;""),VLOOKUP(C24,競技一覧!$T$5:$Z$50,3+VLOOKUP(J24,リスト!$H$2:$I$5,2,FALSE),FALSE),"")</f>
        <v/>
      </c>
      <c r="L24" s="148"/>
      <c r="M24" s="264" t="str">
        <f t="shared" si="7"/>
        <v/>
      </c>
      <c r="N24" t="s">
        <v>205</v>
      </c>
      <c r="O24" s="99" t="str">
        <f t="shared" si="0"/>
        <v/>
      </c>
      <c r="P24" s="99" t="str">
        <f t="shared" si="8"/>
        <v/>
      </c>
      <c r="Q24" s="99" t="str">
        <f>IF(J24="社馬連",IF(IFERROR(VLOOKUP(I24,リスト!$E$10:$G$50,2,FALSE),2)&lt;&gt;0,$Q$1,""),"")</f>
        <v/>
      </c>
      <c r="R24" s="99" t="str">
        <f t="shared" si="9"/>
        <v/>
      </c>
      <c r="S24" s="99" t="str">
        <f>IF(F24&lt;&gt;"",IF(AND(VLOOKUP(C24,競技一覧!$T$5:$U$50,2,TRUE)="Y",OR(VLOOKUP(D24,選手登録!$A$7:$I$56,9,TRUE)="",VLOOKUP(E24,馬匹登録!$A$8:$D$54,4,TRUE)="")),$S$1,""),"")</f>
        <v/>
      </c>
      <c r="T24" s="99" t="str">
        <f t="shared" si="1"/>
        <v/>
      </c>
      <c r="U24" s="99">
        <f t="shared" si="2"/>
        <v>0</v>
      </c>
      <c r="V24" s="99" t="str">
        <f>IFERROR(VLOOKUP(C24,競技一覧!$T$5:$AA$50,8,TRUE),"")</f>
        <v/>
      </c>
      <c r="X24" s="99">
        <f t="shared" si="3"/>
        <v>19</v>
      </c>
      <c r="Y24" s="99" t="str">
        <f t="shared" si="4"/>
        <v/>
      </c>
      <c r="Z24" s="99" t="str">
        <f t="shared" si="5"/>
        <v/>
      </c>
      <c r="AA24" s="99" t="str">
        <f t="shared" si="6"/>
        <v/>
      </c>
      <c r="AB24" s="99" t="str">
        <f>IF(J24&lt;&gt;"",VLOOKUP(J24,リスト!$H$2:$I$5,2,FALSE),"")</f>
        <v/>
      </c>
      <c r="AC24" s="99" t="str">
        <f t="shared" si="12"/>
        <v/>
      </c>
      <c r="AD24" s="99" t="str">
        <f t="shared" si="11"/>
        <v/>
      </c>
    </row>
    <row r="25" spans="1:30" ht="23.25" customHeight="1" x14ac:dyDescent="0.4">
      <c r="A25" s="256">
        <v>20</v>
      </c>
      <c r="B25" s="258" t="str">
        <f>IF(F25&lt;&gt;"",VLOOKUP(F25,競技一覧!$P$5:$T$50,4,FALSE),"")</f>
        <v/>
      </c>
      <c r="C25" s="138" t="str">
        <f>IF(F25&lt;&gt;"",VLOOKUP(F25,競技一覧!$P$5:$T$50,5,FALSE),"")</f>
        <v/>
      </c>
      <c r="D25" s="138" t="str">
        <f>IF(G25&lt;&gt;"",VLOOKUP(G25,選手登録!$L$7:$O$56,4,FALSE),"")</f>
        <v/>
      </c>
      <c r="E25" s="138" t="str">
        <f>IF(H25&lt;&gt;"",VLOOKUP(H25,馬匹登録!$B$8:$G$54,6,FALSE),"")</f>
        <v/>
      </c>
      <c r="F25" s="254"/>
      <c r="G25" s="147"/>
      <c r="H25" s="147"/>
      <c r="I25" s="81" t="str">
        <f>IF(D25&lt;&gt;"",IF(VLOOKUP(D25,選手登録!$A$7:$H$56,8,FALSE)&lt;&gt;"",VLOOKUP(D25,選手登録!$A$7:$H$56,8,FALSE),団体登録!$B$6),"")</f>
        <v/>
      </c>
      <c r="J25" s="151"/>
      <c r="K25" s="28" t="str">
        <f>IF(AND(C25&lt;&gt;"",J25&lt;&gt;""),VLOOKUP(C25,競技一覧!$T$5:$Z$50,3+VLOOKUP(J25,リスト!$H$2:$I$5,2,FALSE),FALSE),"")</f>
        <v/>
      </c>
      <c r="L25" s="148"/>
      <c r="M25" s="264" t="str">
        <f t="shared" si="7"/>
        <v/>
      </c>
      <c r="N25" t="s">
        <v>205</v>
      </c>
      <c r="O25" s="99" t="str">
        <f t="shared" si="0"/>
        <v/>
      </c>
      <c r="P25" s="99" t="str">
        <f t="shared" si="8"/>
        <v/>
      </c>
      <c r="Q25" s="99" t="str">
        <f>IF(J25="社馬連",IF(IFERROR(VLOOKUP(I25,リスト!$E$10:$G$50,2,FALSE),2)&lt;&gt;0,$Q$1,""),"")</f>
        <v/>
      </c>
      <c r="R25" s="99" t="str">
        <f t="shared" si="9"/>
        <v/>
      </c>
      <c r="S25" s="99" t="str">
        <f>IF(F25&lt;&gt;"",IF(AND(VLOOKUP(C25,競技一覧!$T$5:$U$50,2,TRUE)="Y",OR(VLOOKUP(D25,選手登録!$A$7:$I$56,9,TRUE)="",VLOOKUP(E25,馬匹登録!$A$8:$D$54,4,TRUE)="")),$S$1,""),"")</f>
        <v/>
      </c>
      <c r="T25" s="99" t="str">
        <f t="shared" si="1"/>
        <v/>
      </c>
      <c r="U25" s="99">
        <f t="shared" si="2"/>
        <v>0</v>
      </c>
      <c r="V25" s="99" t="str">
        <f>IFERROR(VLOOKUP(C25,競技一覧!$T$5:$AA$50,8,TRUE),"")</f>
        <v/>
      </c>
      <c r="X25" s="99">
        <f t="shared" si="3"/>
        <v>20</v>
      </c>
      <c r="Y25" s="99" t="str">
        <f t="shared" si="4"/>
        <v/>
      </c>
      <c r="Z25" s="99" t="str">
        <f t="shared" si="5"/>
        <v/>
      </c>
      <c r="AA25" s="99" t="str">
        <f t="shared" si="6"/>
        <v/>
      </c>
      <c r="AB25" s="99" t="str">
        <f>IF(J25&lt;&gt;"",VLOOKUP(J25,リスト!$H$2:$I$5,2,FALSE),"")</f>
        <v/>
      </c>
      <c r="AC25" s="99" t="str">
        <f t="shared" si="12"/>
        <v/>
      </c>
      <c r="AD25" s="99" t="str">
        <f t="shared" si="11"/>
        <v/>
      </c>
    </row>
    <row r="26" spans="1:30" ht="23.25" customHeight="1" x14ac:dyDescent="0.4">
      <c r="A26" s="256">
        <v>21</v>
      </c>
      <c r="B26" s="258" t="str">
        <f>IF(F26&lt;&gt;"",VLOOKUP(F26,競技一覧!$P$5:$T$50,4,FALSE),"")</f>
        <v/>
      </c>
      <c r="C26" s="138" t="str">
        <f>IF(F26&lt;&gt;"",VLOOKUP(F26,競技一覧!$P$5:$T$50,5,FALSE),"")</f>
        <v/>
      </c>
      <c r="D26" s="138" t="str">
        <f>IF(G26&lt;&gt;"",VLOOKUP(G26,選手登録!$L$7:$O$56,4,FALSE),"")</f>
        <v/>
      </c>
      <c r="E26" s="138" t="str">
        <f>IF(H26&lt;&gt;"",VLOOKUP(H26,馬匹登録!$B$8:$G$54,6,FALSE),"")</f>
        <v/>
      </c>
      <c r="F26" s="254"/>
      <c r="G26" s="147"/>
      <c r="H26" s="147"/>
      <c r="I26" s="81" t="str">
        <f>IF(D26&lt;&gt;"",IF(VLOOKUP(D26,選手登録!$A$7:$H$56,8,FALSE)&lt;&gt;"",VLOOKUP(D26,選手登録!$A$7:$H$56,8,FALSE),団体登録!$B$6),"")</f>
        <v/>
      </c>
      <c r="J26" s="151"/>
      <c r="K26" s="28" t="str">
        <f>IF(AND(C26&lt;&gt;"",J26&lt;&gt;""),VLOOKUP(C26,競技一覧!$T$5:$Z$50,3+VLOOKUP(J26,リスト!$H$2:$I$5,2,FALSE),FALSE),"")</f>
        <v/>
      </c>
      <c r="L26" s="148"/>
      <c r="M26" s="264" t="str">
        <f t="shared" si="7"/>
        <v/>
      </c>
      <c r="N26" t="s">
        <v>205</v>
      </c>
      <c r="O26" s="99" t="str">
        <f t="shared" si="0"/>
        <v/>
      </c>
      <c r="P26" s="99" t="str">
        <f t="shared" si="8"/>
        <v/>
      </c>
      <c r="Q26" s="99" t="str">
        <f>IF(J26="社馬連",IF(IFERROR(VLOOKUP(I26,リスト!$E$10:$G$50,2,FALSE),2)&lt;&gt;0,$Q$1,""),"")</f>
        <v/>
      </c>
      <c r="R26" s="99" t="str">
        <f t="shared" si="9"/>
        <v/>
      </c>
      <c r="S26" s="99" t="str">
        <f>IF(F26&lt;&gt;"",IF(AND(VLOOKUP(C26,競技一覧!$T$5:$U$50,2,TRUE)="Y",OR(VLOOKUP(D26,選手登録!$A$7:$I$56,9,TRUE)="",VLOOKUP(E26,馬匹登録!$A$8:$D$54,4,TRUE)="")),$S$1,""),"")</f>
        <v/>
      </c>
      <c r="T26" s="99" t="str">
        <f t="shared" si="1"/>
        <v/>
      </c>
      <c r="U26" s="99">
        <f t="shared" si="2"/>
        <v>0</v>
      </c>
      <c r="V26" s="99" t="str">
        <f>IFERROR(VLOOKUP(C26,競技一覧!$T$5:$AA$50,8,TRUE),"")</f>
        <v/>
      </c>
      <c r="X26" s="99">
        <f t="shared" si="3"/>
        <v>21</v>
      </c>
      <c r="Y26" s="99" t="str">
        <f t="shared" si="4"/>
        <v/>
      </c>
      <c r="Z26" s="99" t="str">
        <f t="shared" si="5"/>
        <v/>
      </c>
      <c r="AA26" s="99" t="str">
        <f t="shared" si="6"/>
        <v/>
      </c>
      <c r="AB26" s="99" t="str">
        <f>IF(J26&lt;&gt;"",VLOOKUP(J26,リスト!$H$2:$I$5,2,FALSE),"")</f>
        <v/>
      </c>
      <c r="AC26" s="99" t="str">
        <f t="shared" si="12"/>
        <v/>
      </c>
      <c r="AD26" s="99" t="str">
        <f t="shared" si="11"/>
        <v/>
      </c>
    </row>
    <row r="27" spans="1:30" ht="23.25" customHeight="1" x14ac:dyDescent="0.4">
      <c r="A27" s="256">
        <v>22</v>
      </c>
      <c r="B27" s="258" t="str">
        <f>IF(F27&lt;&gt;"",VLOOKUP(F27,競技一覧!$P$5:$T$50,4,FALSE),"")</f>
        <v/>
      </c>
      <c r="C27" s="138" t="str">
        <f>IF(F27&lt;&gt;"",VLOOKUP(F27,競技一覧!$P$5:$T$50,5,FALSE),"")</f>
        <v/>
      </c>
      <c r="D27" s="138" t="str">
        <f>IF(G27&lt;&gt;"",VLOOKUP(G27,選手登録!$L$7:$O$56,4,FALSE),"")</f>
        <v/>
      </c>
      <c r="E27" s="138" t="str">
        <f>IF(H27&lt;&gt;"",VLOOKUP(H27,馬匹登録!$B$8:$G$54,6,FALSE),"")</f>
        <v/>
      </c>
      <c r="F27" s="254"/>
      <c r="G27" s="147"/>
      <c r="H27" s="147"/>
      <c r="I27" s="81" t="str">
        <f>IF(D27&lt;&gt;"",IF(VLOOKUP(D27,選手登録!$A$7:$H$56,8,FALSE)&lt;&gt;"",VLOOKUP(D27,選手登録!$A$7:$H$56,8,FALSE),団体登録!$B$6),"")</f>
        <v/>
      </c>
      <c r="J27" s="151"/>
      <c r="K27" s="28" t="str">
        <f>IF(AND(C27&lt;&gt;"",J27&lt;&gt;""),VLOOKUP(C27,競技一覧!$T$5:$Z$50,3+VLOOKUP(J27,リスト!$H$2:$I$5,2,FALSE),FALSE),"")</f>
        <v/>
      </c>
      <c r="L27" s="148"/>
      <c r="M27" s="264" t="str">
        <f t="shared" si="7"/>
        <v/>
      </c>
      <c r="N27" t="s">
        <v>205</v>
      </c>
      <c r="O27" s="99" t="str">
        <f t="shared" si="0"/>
        <v/>
      </c>
      <c r="P27" s="99" t="str">
        <f t="shared" si="8"/>
        <v/>
      </c>
      <c r="Q27" s="99" t="str">
        <f>IF(J27="社馬連",IF(IFERROR(VLOOKUP(I27,リスト!$E$10:$G$50,2,FALSE),2)&lt;&gt;0,$Q$1,""),"")</f>
        <v/>
      </c>
      <c r="R27" s="99" t="str">
        <f t="shared" si="9"/>
        <v/>
      </c>
      <c r="S27" s="99" t="str">
        <f>IF(F27&lt;&gt;"",IF(AND(VLOOKUP(C27,競技一覧!$T$5:$U$50,2,TRUE)="Y",OR(VLOOKUP(D27,選手登録!$A$7:$I$56,9,TRUE)="",VLOOKUP(E27,馬匹登録!$A$8:$D$54,4,TRUE)="")),$S$1,""),"")</f>
        <v/>
      </c>
      <c r="T27" s="99" t="str">
        <f t="shared" si="1"/>
        <v/>
      </c>
      <c r="U27" s="99">
        <f t="shared" si="2"/>
        <v>0</v>
      </c>
      <c r="V27" s="99" t="str">
        <f>IFERROR(VLOOKUP(C27,競技一覧!$T$5:$AA$50,8,TRUE),"")</f>
        <v/>
      </c>
      <c r="X27" s="99">
        <f t="shared" si="3"/>
        <v>22</v>
      </c>
      <c r="Y27" s="99" t="str">
        <f t="shared" si="4"/>
        <v/>
      </c>
      <c r="Z27" s="99" t="str">
        <f t="shared" si="5"/>
        <v/>
      </c>
      <c r="AA27" s="99" t="str">
        <f t="shared" si="6"/>
        <v/>
      </c>
      <c r="AB27" s="99" t="str">
        <f>IF(J27&lt;&gt;"",VLOOKUP(J27,リスト!$H$2:$I$5,2,FALSE),"")</f>
        <v/>
      </c>
      <c r="AC27" s="99" t="str">
        <f t="shared" si="12"/>
        <v/>
      </c>
      <c r="AD27" s="99" t="str">
        <f t="shared" si="11"/>
        <v/>
      </c>
    </row>
    <row r="28" spans="1:30" ht="23.25" customHeight="1" x14ac:dyDescent="0.4">
      <c r="A28" s="256">
        <v>23</v>
      </c>
      <c r="B28" s="258" t="str">
        <f>IF(F28&lt;&gt;"",VLOOKUP(F28,競技一覧!$P$5:$T$50,4,FALSE),"")</f>
        <v/>
      </c>
      <c r="C28" s="138" t="str">
        <f>IF(F28&lt;&gt;"",VLOOKUP(F28,競技一覧!$P$5:$T$50,5,FALSE),"")</f>
        <v/>
      </c>
      <c r="D28" s="138" t="str">
        <f>IF(G28&lt;&gt;"",VLOOKUP(G28,選手登録!$L$7:$O$56,4,FALSE),"")</f>
        <v/>
      </c>
      <c r="E28" s="138" t="str">
        <f>IF(H28&lt;&gt;"",VLOOKUP(H28,馬匹登録!$B$8:$G$54,6,FALSE),"")</f>
        <v/>
      </c>
      <c r="F28" s="254"/>
      <c r="G28" s="147"/>
      <c r="H28" s="147"/>
      <c r="I28" s="81" t="str">
        <f>IF(D28&lt;&gt;"",IF(VLOOKUP(D28,選手登録!$A$7:$H$56,8,FALSE)&lt;&gt;"",VLOOKUP(D28,選手登録!$A$7:$H$56,8,FALSE),団体登録!$B$6),"")</f>
        <v/>
      </c>
      <c r="J28" s="151"/>
      <c r="K28" s="28" t="str">
        <f>IF(AND(C28&lt;&gt;"",J28&lt;&gt;""),VLOOKUP(C28,競技一覧!$T$5:$Z$50,3+VLOOKUP(J28,リスト!$H$2:$I$5,2,FALSE),FALSE),"")</f>
        <v/>
      </c>
      <c r="L28" s="148"/>
      <c r="M28" s="264" t="str">
        <f t="shared" si="7"/>
        <v/>
      </c>
      <c r="N28" t="s">
        <v>205</v>
      </c>
      <c r="O28" s="99" t="str">
        <f t="shared" si="0"/>
        <v/>
      </c>
      <c r="P28" s="99" t="str">
        <f t="shared" si="8"/>
        <v/>
      </c>
      <c r="Q28" s="99" t="str">
        <f>IF(J28="社馬連",IF(IFERROR(VLOOKUP(I28,リスト!$E$10:$G$50,2,FALSE),2)&lt;&gt;0,$Q$1,""),"")</f>
        <v/>
      </c>
      <c r="R28" s="99" t="str">
        <f t="shared" si="9"/>
        <v/>
      </c>
      <c r="S28" s="99" t="str">
        <f>IF(F28&lt;&gt;"",IF(AND(VLOOKUP(C28,競技一覧!$T$5:$U$50,2,TRUE)="Y",OR(VLOOKUP(D28,選手登録!$A$7:$I$56,9,TRUE)="",VLOOKUP(E28,馬匹登録!$A$8:$D$54,4,TRUE)="")),$S$1,""),"")</f>
        <v/>
      </c>
      <c r="T28" s="99" t="str">
        <f t="shared" si="1"/>
        <v/>
      </c>
      <c r="U28" s="99">
        <f t="shared" si="2"/>
        <v>0</v>
      </c>
      <c r="V28" s="99" t="str">
        <f>IFERROR(VLOOKUP(C28,競技一覧!$T$5:$AA$50,8,TRUE),"")</f>
        <v/>
      </c>
      <c r="X28" s="99">
        <f t="shared" si="3"/>
        <v>23</v>
      </c>
      <c r="Y28" s="99" t="str">
        <f t="shared" si="4"/>
        <v/>
      </c>
      <c r="Z28" s="99" t="str">
        <f t="shared" si="5"/>
        <v/>
      </c>
      <c r="AA28" s="99" t="str">
        <f t="shared" si="6"/>
        <v/>
      </c>
      <c r="AB28" s="99" t="str">
        <f>IF(J28&lt;&gt;"",VLOOKUP(J28,リスト!$H$2:$I$5,2,FALSE),"")</f>
        <v/>
      </c>
      <c r="AC28" s="99" t="str">
        <f t="shared" si="12"/>
        <v/>
      </c>
      <c r="AD28" s="99" t="str">
        <f t="shared" si="11"/>
        <v/>
      </c>
    </row>
    <row r="29" spans="1:30" ht="23.25" customHeight="1" x14ac:dyDescent="0.4">
      <c r="A29" s="256">
        <v>24</v>
      </c>
      <c r="B29" s="258" t="str">
        <f>IF(F29&lt;&gt;"",VLOOKUP(F29,競技一覧!$P$5:$T$50,4,FALSE),"")</f>
        <v/>
      </c>
      <c r="C29" s="138" t="str">
        <f>IF(F29&lt;&gt;"",VLOOKUP(F29,競技一覧!$P$5:$T$50,5,FALSE),"")</f>
        <v/>
      </c>
      <c r="D29" s="138" t="str">
        <f>IF(G29&lt;&gt;"",VLOOKUP(G29,選手登録!$L$7:$O$56,4,FALSE),"")</f>
        <v/>
      </c>
      <c r="E29" s="138" t="str">
        <f>IF(H29&lt;&gt;"",VLOOKUP(H29,馬匹登録!$B$8:$G$54,6,FALSE),"")</f>
        <v/>
      </c>
      <c r="F29" s="254"/>
      <c r="G29" s="147"/>
      <c r="H29" s="147"/>
      <c r="I29" s="81" t="str">
        <f>IF(D29&lt;&gt;"",IF(VLOOKUP(D29,選手登録!$A$7:$H$56,8,FALSE)&lt;&gt;"",VLOOKUP(D29,選手登録!$A$7:$H$56,8,FALSE),団体登録!$B$6),"")</f>
        <v/>
      </c>
      <c r="J29" s="151"/>
      <c r="K29" s="28" t="str">
        <f>IF(AND(C29&lt;&gt;"",J29&lt;&gt;""),VLOOKUP(C29,競技一覧!$T$5:$Z$50,3+VLOOKUP(J29,リスト!$H$2:$I$5,2,FALSE),FALSE),"")</f>
        <v/>
      </c>
      <c r="L29" s="148"/>
      <c r="M29" s="264" t="str">
        <f t="shared" si="7"/>
        <v/>
      </c>
      <c r="N29" t="s">
        <v>205</v>
      </c>
      <c r="O29" s="99" t="str">
        <f t="shared" si="0"/>
        <v/>
      </c>
      <c r="P29" s="99" t="str">
        <f t="shared" si="8"/>
        <v/>
      </c>
      <c r="Q29" s="99" t="str">
        <f>IF(J29="社馬連",IF(IFERROR(VLOOKUP(I29,リスト!$E$10:$G$50,2,FALSE),2)&lt;&gt;0,$Q$1,""),"")</f>
        <v/>
      </c>
      <c r="R29" s="99" t="str">
        <f t="shared" si="9"/>
        <v/>
      </c>
      <c r="S29" s="99" t="str">
        <f>IF(F29&lt;&gt;"",IF(AND(VLOOKUP(C29,競技一覧!$T$5:$U$50,2,TRUE)="Y",OR(VLOOKUP(D29,選手登録!$A$7:$I$56,9,TRUE)="",VLOOKUP(E29,馬匹登録!$A$8:$D$54,4,TRUE)="")),$S$1,""),"")</f>
        <v/>
      </c>
      <c r="T29" s="99" t="str">
        <f t="shared" si="1"/>
        <v/>
      </c>
      <c r="U29" s="99">
        <f t="shared" si="2"/>
        <v>0</v>
      </c>
      <c r="V29" s="99" t="str">
        <f>IFERROR(VLOOKUP(C29,競技一覧!$T$5:$AA$50,8,TRUE),"")</f>
        <v/>
      </c>
      <c r="X29" s="99">
        <f t="shared" si="3"/>
        <v>24</v>
      </c>
      <c r="Y29" s="99" t="str">
        <f t="shared" si="4"/>
        <v/>
      </c>
      <c r="Z29" s="99" t="str">
        <f t="shared" si="5"/>
        <v/>
      </c>
      <c r="AA29" s="99" t="str">
        <f t="shared" si="6"/>
        <v/>
      </c>
      <c r="AB29" s="99" t="str">
        <f>IF(J29&lt;&gt;"",VLOOKUP(J29,リスト!$H$2:$I$5,2,FALSE),"")</f>
        <v/>
      </c>
      <c r="AC29" s="99" t="str">
        <f t="shared" si="12"/>
        <v/>
      </c>
      <c r="AD29" s="99" t="str">
        <f t="shared" si="11"/>
        <v/>
      </c>
    </row>
    <row r="30" spans="1:30" ht="23.25" customHeight="1" x14ac:dyDescent="0.4">
      <c r="A30" s="256">
        <v>25</v>
      </c>
      <c r="B30" s="258" t="str">
        <f>IF(F30&lt;&gt;"",VLOOKUP(F30,競技一覧!$P$5:$T$50,4,FALSE),"")</f>
        <v/>
      </c>
      <c r="C30" s="138" t="str">
        <f>IF(F30&lt;&gt;"",VLOOKUP(F30,競技一覧!$P$5:$T$50,5,FALSE),"")</f>
        <v/>
      </c>
      <c r="D30" s="138" t="str">
        <f>IF(G30&lt;&gt;"",VLOOKUP(G30,選手登録!$L$7:$O$56,4,FALSE),"")</f>
        <v/>
      </c>
      <c r="E30" s="138" t="str">
        <f>IF(H30&lt;&gt;"",VLOOKUP(H30,馬匹登録!$B$8:$G$54,6,FALSE),"")</f>
        <v/>
      </c>
      <c r="F30" s="254"/>
      <c r="G30" s="147"/>
      <c r="H30" s="147"/>
      <c r="I30" s="81" t="str">
        <f>IF(D30&lt;&gt;"",IF(VLOOKUP(D30,選手登録!$A$7:$H$56,8,FALSE)&lt;&gt;"",VLOOKUP(D30,選手登録!$A$7:$H$56,8,FALSE),団体登録!$B$6),"")</f>
        <v/>
      </c>
      <c r="J30" s="151"/>
      <c r="K30" s="28" t="str">
        <f>IF(AND(C30&lt;&gt;"",J30&lt;&gt;""),VLOOKUP(C30,競技一覧!$T$5:$Z$50,3+VLOOKUP(J30,リスト!$H$2:$I$5,2,FALSE),FALSE),"")</f>
        <v/>
      </c>
      <c r="L30" s="148"/>
      <c r="M30" s="264" t="str">
        <f t="shared" si="7"/>
        <v/>
      </c>
      <c r="N30" t="s">
        <v>205</v>
      </c>
      <c r="O30" s="99" t="str">
        <f t="shared" si="0"/>
        <v/>
      </c>
      <c r="P30" s="99" t="str">
        <f t="shared" si="8"/>
        <v/>
      </c>
      <c r="Q30" s="99" t="str">
        <f>IF(J30="社馬連",IF(IFERROR(VLOOKUP(I30,リスト!$E$10:$G$50,2,FALSE),2)&lt;&gt;0,$Q$1,""),"")</f>
        <v/>
      </c>
      <c r="R30" s="99" t="str">
        <f t="shared" si="9"/>
        <v/>
      </c>
      <c r="S30" s="99" t="str">
        <f>IF(F30&lt;&gt;"",IF(AND(VLOOKUP(C30,競技一覧!$T$5:$U$50,2,TRUE)="Y",OR(VLOOKUP(D30,選手登録!$A$7:$I$56,9,TRUE)="",VLOOKUP(E30,馬匹登録!$A$8:$D$54,4,TRUE)="")),$S$1,""),"")</f>
        <v/>
      </c>
      <c r="T30" s="99" t="str">
        <f t="shared" si="1"/>
        <v/>
      </c>
      <c r="U30" s="99">
        <f t="shared" si="2"/>
        <v>0</v>
      </c>
      <c r="V30" s="99" t="str">
        <f>IFERROR(VLOOKUP(C30,競技一覧!$T$5:$AA$50,8,TRUE),"")</f>
        <v/>
      </c>
      <c r="X30" s="99">
        <f t="shared" si="3"/>
        <v>25</v>
      </c>
      <c r="Y30" s="99" t="str">
        <f t="shared" si="4"/>
        <v/>
      </c>
      <c r="Z30" s="99" t="str">
        <f t="shared" si="5"/>
        <v/>
      </c>
      <c r="AA30" s="99" t="str">
        <f t="shared" si="6"/>
        <v/>
      </c>
      <c r="AB30" s="99" t="str">
        <f>IF(J30&lt;&gt;"",VLOOKUP(J30,リスト!$H$2:$I$5,2,FALSE),"")</f>
        <v/>
      </c>
      <c r="AC30" s="99" t="str">
        <f t="shared" si="12"/>
        <v/>
      </c>
      <c r="AD30" s="99" t="str">
        <f t="shared" si="11"/>
        <v/>
      </c>
    </row>
    <row r="31" spans="1:30" ht="23.25" customHeight="1" x14ac:dyDescent="0.4">
      <c r="A31" s="256">
        <v>26</v>
      </c>
      <c r="B31" s="258" t="str">
        <f>IF(F31&lt;&gt;"",VLOOKUP(F31,競技一覧!$P$5:$T$50,4,FALSE),"")</f>
        <v/>
      </c>
      <c r="C31" s="138" t="str">
        <f>IF(F31&lt;&gt;"",VLOOKUP(F31,競技一覧!$P$5:$T$50,5,FALSE),"")</f>
        <v/>
      </c>
      <c r="D31" s="138" t="str">
        <f>IF(G31&lt;&gt;"",VLOOKUP(G31,選手登録!$L$7:$O$56,4,FALSE),"")</f>
        <v/>
      </c>
      <c r="E31" s="138" t="str">
        <f>IF(H31&lt;&gt;"",VLOOKUP(H31,馬匹登録!$B$8:$G$54,6,FALSE),"")</f>
        <v/>
      </c>
      <c r="F31" s="254"/>
      <c r="G31" s="147"/>
      <c r="H31" s="147"/>
      <c r="I31" s="81" t="str">
        <f>IF(D31&lt;&gt;"",IF(VLOOKUP(D31,選手登録!$A$7:$H$56,8,FALSE)&lt;&gt;"",VLOOKUP(D31,選手登録!$A$7:$H$56,8,FALSE),団体登録!$B$6),"")</f>
        <v/>
      </c>
      <c r="J31" s="151"/>
      <c r="K31" s="28" t="str">
        <f>IF(AND(C31&lt;&gt;"",J31&lt;&gt;""),VLOOKUP(C31,競技一覧!$T$5:$Z$50,3+VLOOKUP(J31,リスト!$H$2:$I$5,2,FALSE),FALSE),"")</f>
        <v/>
      </c>
      <c r="L31" s="148"/>
      <c r="M31" s="264" t="str">
        <f t="shared" si="7"/>
        <v/>
      </c>
      <c r="N31" t="s">
        <v>205</v>
      </c>
      <c r="O31" s="99" t="str">
        <f t="shared" si="0"/>
        <v/>
      </c>
      <c r="P31" s="99" t="str">
        <f t="shared" si="8"/>
        <v/>
      </c>
      <c r="Q31" s="99" t="str">
        <f>IF(J31="社馬連",IF(IFERROR(VLOOKUP(I31,リスト!$E$10:$G$50,2,FALSE),2)&lt;&gt;0,$Q$1,""),"")</f>
        <v/>
      </c>
      <c r="R31" s="99" t="str">
        <f t="shared" si="9"/>
        <v/>
      </c>
      <c r="S31" s="99" t="str">
        <f>IF(F31&lt;&gt;"",IF(AND(VLOOKUP(C31,競技一覧!$T$5:$U$50,2,TRUE)="Y",OR(VLOOKUP(D31,選手登録!$A$7:$I$56,9,TRUE)="",VLOOKUP(E31,馬匹登録!$A$8:$D$54,4,TRUE)="")),$S$1,""),"")</f>
        <v/>
      </c>
      <c r="T31" s="99" t="str">
        <f t="shared" si="1"/>
        <v/>
      </c>
      <c r="U31" s="99">
        <f t="shared" si="2"/>
        <v>0</v>
      </c>
      <c r="V31" s="99" t="str">
        <f>IFERROR(VLOOKUP(C31,競技一覧!$T$5:$AA$50,8,TRUE),"")</f>
        <v/>
      </c>
      <c r="X31" s="99">
        <f t="shared" si="3"/>
        <v>26</v>
      </c>
      <c r="Y31" s="99" t="str">
        <f t="shared" si="4"/>
        <v/>
      </c>
      <c r="Z31" s="99" t="str">
        <f t="shared" si="5"/>
        <v/>
      </c>
      <c r="AA31" s="99" t="str">
        <f t="shared" si="6"/>
        <v/>
      </c>
      <c r="AB31" s="99" t="str">
        <f>IF(J31&lt;&gt;"",VLOOKUP(J31,リスト!$H$2:$I$5,2,FALSE),"")</f>
        <v/>
      </c>
      <c r="AC31" s="99" t="str">
        <f t="shared" si="12"/>
        <v/>
      </c>
      <c r="AD31" s="99" t="str">
        <f t="shared" si="11"/>
        <v/>
      </c>
    </row>
    <row r="32" spans="1:30" ht="23.25" customHeight="1" x14ac:dyDescent="0.4">
      <c r="A32" s="256">
        <v>27</v>
      </c>
      <c r="B32" s="258" t="str">
        <f>IF(F32&lt;&gt;"",VLOOKUP(F32,競技一覧!$P$5:$T$50,4,FALSE),"")</f>
        <v/>
      </c>
      <c r="C32" s="138" t="str">
        <f>IF(F32&lt;&gt;"",VLOOKUP(F32,競技一覧!$P$5:$T$50,5,FALSE),"")</f>
        <v/>
      </c>
      <c r="D32" s="138" t="str">
        <f>IF(G32&lt;&gt;"",VLOOKUP(G32,選手登録!$L$7:$O$56,4,FALSE),"")</f>
        <v/>
      </c>
      <c r="E32" s="138" t="str">
        <f>IF(H32&lt;&gt;"",VLOOKUP(H32,馬匹登録!$B$8:$G$54,6,FALSE),"")</f>
        <v/>
      </c>
      <c r="F32" s="254"/>
      <c r="G32" s="147"/>
      <c r="H32" s="147"/>
      <c r="I32" s="81" t="str">
        <f>IF(D32&lt;&gt;"",IF(VLOOKUP(D32,選手登録!$A$7:$H$56,8,FALSE)&lt;&gt;"",VLOOKUP(D32,選手登録!$A$7:$H$56,8,FALSE),団体登録!$B$6),"")</f>
        <v/>
      </c>
      <c r="J32" s="151"/>
      <c r="K32" s="28" t="str">
        <f>IF(AND(C32&lt;&gt;"",J32&lt;&gt;""),VLOOKUP(C32,競技一覧!$T$5:$Z$50,3+VLOOKUP(J32,リスト!$H$2:$I$5,2,FALSE),FALSE),"")</f>
        <v/>
      </c>
      <c r="L32" s="148"/>
      <c r="M32" s="264" t="str">
        <f t="shared" si="7"/>
        <v/>
      </c>
      <c r="N32" t="s">
        <v>205</v>
      </c>
      <c r="O32" s="99" t="str">
        <f t="shared" si="0"/>
        <v/>
      </c>
      <c r="P32" s="99" t="str">
        <f t="shared" si="8"/>
        <v/>
      </c>
      <c r="Q32" s="99" t="str">
        <f>IF(J32="社馬連",IF(IFERROR(VLOOKUP(I32,リスト!$E$10:$G$50,2,FALSE),2)&lt;&gt;0,$Q$1,""),"")</f>
        <v/>
      </c>
      <c r="R32" s="99" t="str">
        <f t="shared" si="9"/>
        <v/>
      </c>
      <c r="S32" s="99" t="str">
        <f>IF(F32&lt;&gt;"",IF(AND(VLOOKUP(C32,競技一覧!$T$5:$U$50,2,TRUE)="Y",OR(VLOOKUP(D32,選手登録!$A$7:$I$56,9,TRUE)="",VLOOKUP(E32,馬匹登録!$A$8:$D$54,4,TRUE)="")),$S$1,""),"")</f>
        <v/>
      </c>
      <c r="T32" s="99" t="str">
        <f t="shared" si="1"/>
        <v/>
      </c>
      <c r="U32" s="99">
        <f t="shared" si="2"/>
        <v>0</v>
      </c>
      <c r="V32" s="99" t="str">
        <f>IFERROR(VLOOKUP(C32,競技一覧!$T$5:$AA$50,8,TRUE),"")</f>
        <v/>
      </c>
      <c r="X32" s="99">
        <f t="shared" si="3"/>
        <v>27</v>
      </c>
      <c r="Y32" s="99" t="str">
        <f t="shared" si="4"/>
        <v/>
      </c>
      <c r="Z32" s="99" t="str">
        <f t="shared" si="5"/>
        <v/>
      </c>
      <c r="AA32" s="99" t="str">
        <f t="shared" si="6"/>
        <v/>
      </c>
      <c r="AB32" s="99" t="str">
        <f>IF(J32&lt;&gt;"",VLOOKUP(J32,リスト!$H$2:$I$5,2,FALSE),"")</f>
        <v/>
      </c>
      <c r="AC32" s="99" t="str">
        <f t="shared" si="12"/>
        <v/>
      </c>
      <c r="AD32" s="99" t="str">
        <f t="shared" si="11"/>
        <v/>
      </c>
    </row>
    <row r="33" spans="1:30" ht="23.25" customHeight="1" x14ac:dyDescent="0.4">
      <c r="A33" s="256">
        <v>28</v>
      </c>
      <c r="B33" s="258" t="str">
        <f>IF(F33&lt;&gt;"",VLOOKUP(F33,競技一覧!$P$5:$T$50,4,FALSE),"")</f>
        <v/>
      </c>
      <c r="C33" s="138" t="str">
        <f>IF(F33&lt;&gt;"",VLOOKUP(F33,競技一覧!$P$5:$T$50,5,FALSE),"")</f>
        <v/>
      </c>
      <c r="D33" s="138" t="str">
        <f>IF(G33&lt;&gt;"",VLOOKUP(G33,選手登録!$L$7:$O$56,4,FALSE),"")</f>
        <v/>
      </c>
      <c r="E33" s="138" t="str">
        <f>IF(H33&lt;&gt;"",VLOOKUP(H33,馬匹登録!$B$8:$G$54,6,FALSE),"")</f>
        <v/>
      </c>
      <c r="F33" s="254"/>
      <c r="G33" s="147"/>
      <c r="H33" s="147"/>
      <c r="I33" s="81" t="str">
        <f>IF(D33&lt;&gt;"",IF(VLOOKUP(D33,選手登録!$A$7:$H$56,8,FALSE)&lt;&gt;"",VLOOKUP(D33,選手登録!$A$7:$H$56,8,FALSE),団体登録!$B$6),"")</f>
        <v/>
      </c>
      <c r="J33" s="151"/>
      <c r="K33" s="28" t="str">
        <f>IF(AND(C33&lt;&gt;"",J33&lt;&gt;""),VLOOKUP(C33,競技一覧!$T$5:$Z$50,3+VLOOKUP(J33,リスト!$H$2:$I$5,2,FALSE),FALSE),"")</f>
        <v/>
      </c>
      <c r="L33" s="148"/>
      <c r="M33" s="264" t="str">
        <f t="shared" si="7"/>
        <v/>
      </c>
      <c r="N33" t="s">
        <v>205</v>
      </c>
      <c r="O33" s="99" t="str">
        <f t="shared" si="0"/>
        <v/>
      </c>
      <c r="P33" s="99" t="str">
        <f t="shared" si="8"/>
        <v/>
      </c>
      <c r="Q33" s="99" t="str">
        <f>IF(J33="社馬連",IF(IFERROR(VLOOKUP(I33,リスト!$E$10:$G$50,2,FALSE),2)&lt;&gt;0,$Q$1,""),"")</f>
        <v/>
      </c>
      <c r="R33" s="99" t="str">
        <f t="shared" si="9"/>
        <v/>
      </c>
      <c r="S33" s="99" t="str">
        <f>IF(F33&lt;&gt;"",IF(AND(VLOOKUP(C33,競技一覧!$T$5:$U$50,2,TRUE)="Y",OR(VLOOKUP(D33,選手登録!$A$7:$I$56,9,TRUE)="",VLOOKUP(E33,馬匹登録!$A$8:$D$54,4,TRUE)="")),$S$1,""),"")</f>
        <v/>
      </c>
      <c r="T33" s="99" t="str">
        <f t="shared" si="1"/>
        <v/>
      </c>
      <c r="U33" s="99">
        <f t="shared" si="2"/>
        <v>0</v>
      </c>
      <c r="V33" s="99" t="str">
        <f>IFERROR(VLOOKUP(C33,競技一覧!$T$5:$AA$50,8,TRUE),"")</f>
        <v/>
      </c>
      <c r="X33" s="99">
        <f t="shared" si="3"/>
        <v>28</v>
      </c>
      <c r="Y33" s="99" t="str">
        <f t="shared" si="4"/>
        <v/>
      </c>
      <c r="Z33" s="99" t="str">
        <f t="shared" si="5"/>
        <v/>
      </c>
      <c r="AA33" s="99" t="str">
        <f t="shared" si="6"/>
        <v/>
      </c>
      <c r="AB33" s="99" t="str">
        <f>IF(J33&lt;&gt;"",VLOOKUP(J33,リスト!$H$2:$I$5,2,FALSE),"")</f>
        <v/>
      </c>
      <c r="AC33" s="99" t="str">
        <f t="shared" si="12"/>
        <v/>
      </c>
      <c r="AD33" s="99" t="str">
        <f t="shared" si="11"/>
        <v/>
      </c>
    </row>
    <row r="34" spans="1:30" ht="23.25" customHeight="1" x14ac:dyDescent="0.4">
      <c r="A34" s="256">
        <v>29</v>
      </c>
      <c r="B34" s="258" t="str">
        <f>IF(F34&lt;&gt;"",VLOOKUP(F34,競技一覧!$P$5:$T$50,4,FALSE),"")</f>
        <v/>
      </c>
      <c r="C34" s="138" t="str">
        <f>IF(F34&lt;&gt;"",VLOOKUP(F34,競技一覧!$P$5:$T$50,5,FALSE),"")</f>
        <v/>
      </c>
      <c r="D34" s="138" t="str">
        <f>IF(G34&lt;&gt;"",VLOOKUP(G34,選手登録!$L$7:$O$56,4,FALSE),"")</f>
        <v/>
      </c>
      <c r="E34" s="138" t="str">
        <f>IF(H34&lt;&gt;"",VLOOKUP(H34,馬匹登録!$B$8:$G$54,6,FALSE),"")</f>
        <v/>
      </c>
      <c r="F34" s="254"/>
      <c r="G34" s="147"/>
      <c r="H34" s="147"/>
      <c r="I34" s="81" t="str">
        <f>IF(D34&lt;&gt;"",IF(VLOOKUP(D34,選手登録!$A$7:$H$56,8,FALSE)&lt;&gt;"",VLOOKUP(D34,選手登録!$A$7:$H$56,8,FALSE),団体登録!$B$6),"")</f>
        <v/>
      </c>
      <c r="J34" s="151"/>
      <c r="K34" s="28" t="str">
        <f>IF(AND(C34&lt;&gt;"",J34&lt;&gt;""),VLOOKUP(C34,競技一覧!$T$5:$Z$50,3+VLOOKUP(J34,リスト!$H$2:$I$5,2,FALSE),FALSE),"")</f>
        <v/>
      </c>
      <c r="L34" s="148"/>
      <c r="M34" s="264" t="str">
        <f t="shared" si="7"/>
        <v/>
      </c>
      <c r="N34" t="s">
        <v>205</v>
      </c>
      <c r="O34" s="99" t="str">
        <f t="shared" si="0"/>
        <v/>
      </c>
      <c r="P34" s="99" t="str">
        <f t="shared" si="8"/>
        <v/>
      </c>
      <c r="Q34" s="99" t="str">
        <f>IF(J34="社馬連",IF(IFERROR(VLOOKUP(I34,リスト!$E$10:$G$50,2,FALSE),2)&lt;&gt;0,$Q$1,""),"")</f>
        <v/>
      </c>
      <c r="R34" s="99" t="str">
        <f t="shared" si="9"/>
        <v/>
      </c>
      <c r="S34" s="99" t="str">
        <f>IF(F34&lt;&gt;"",IF(AND(VLOOKUP(C34,競技一覧!$T$5:$U$50,2,TRUE)="Y",OR(VLOOKUP(D34,選手登録!$A$7:$I$56,9,TRUE)="",VLOOKUP(E34,馬匹登録!$A$8:$D$54,4,TRUE)="")),$S$1,""),"")</f>
        <v/>
      </c>
      <c r="T34" s="99" t="str">
        <f t="shared" si="1"/>
        <v/>
      </c>
      <c r="U34" s="99">
        <f t="shared" si="2"/>
        <v>0</v>
      </c>
      <c r="V34" s="99" t="str">
        <f>IFERROR(VLOOKUP(C34,競技一覧!$T$5:$AA$50,8,TRUE),"")</f>
        <v/>
      </c>
      <c r="X34" s="99">
        <f t="shared" si="3"/>
        <v>29</v>
      </c>
      <c r="Y34" s="99" t="str">
        <f t="shared" si="4"/>
        <v/>
      </c>
      <c r="Z34" s="99" t="str">
        <f t="shared" si="5"/>
        <v/>
      </c>
      <c r="AA34" s="99" t="str">
        <f t="shared" si="6"/>
        <v/>
      </c>
      <c r="AB34" s="99" t="str">
        <f>IF(J34&lt;&gt;"",VLOOKUP(J34,リスト!$H$2:$I$5,2,FALSE),"")</f>
        <v/>
      </c>
      <c r="AC34" s="99" t="str">
        <f t="shared" si="12"/>
        <v/>
      </c>
      <c r="AD34" s="99" t="str">
        <f t="shared" si="11"/>
        <v/>
      </c>
    </row>
    <row r="35" spans="1:30" ht="23.25" customHeight="1" x14ac:dyDescent="0.4">
      <c r="A35" s="256">
        <v>30</v>
      </c>
      <c r="B35" s="258" t="str">
        <f>IF(F35&lt;&gt;"",VLOOKUP(F35,競技一覧!$P$5:$T$50,4,FALSE),"")</f>
        <v/>
      </c>
      <c r="C35" s="138" t="str">
        <f>IF(F35&lt;&gt;"",VLOOKUP(F35,競技一覧!$P$5:$T$50,5,FALSE),"")</f>
        <v/>
      </c>
      <c r="D35" s="138" t="str">
        <f>IF(G35&lt;&gt;"",VLOOKUP(G35,選手登録!$L$7:$O$56,4,FALSE),"")</f>
        <v/>
      </c>
      <c r="E35" s="138" t="str">
        <f>IF(H35&lt;&gt;"",VLOOKUP(H35,馬匹登録!$B$8:$G$54,6,FALSE),"")</f>
        <v/>
      </c>
      <c r="F35" s="254"/>
      <c r="G35" s="147"/>
      <c r="H35" s="147"/>
      <c r="I35" s="81" t="str">
        <f>IF(D35&lt;&gt;"",IF(VLOOKUP(D35,選手登録!$A$7:$H$56,8,FALSE)&lt;&gt;"",VLOOKUP(D35,選手登録!$A$7:$H$56,8,FALSE),団体登録!$B$6),"")</f>
        <v/>
      </c>
      <c r="J35" s="151"/>
      <c r="K35" s="28" t="str">
        <f>IF(AND(C35&lt;&gt;"",J35&lt;&gt;""),VLOOKUP(C35,競技一覧!$T$5:$Z$50,3+VLOOKUP(J35,リスト!$H$2:$I$5,2,FALSE),FALSE),"")</f>
        <v/>
      </c>
      <c r="L35" s="148"/>
      <c r="M35" s="264" t="str">
        <f t="shared" si="7"/>
        <v/>
      </c>
      <c r="N35" t="s">
        <v>205</v>
      </c>
      <c r="O35" s="99" t="str">
        <f t="shared" si="0"/>
        <v/>
      </c>
      <c r="P35" s="99" t="str">
        <f t="shared" si="8"/>
        <v/>
      </c>
      <c r="Q35" s="99" t="str">
        <f>IF(J35="社馬連",IF(IFERROR(VLOOKUP(I35,リスト!$E$10:$G$50,2,FALSE),2)&lt;&gt;0,$Q$1,""),"")</f>
        <v/>
      </c>
      <c r="R35" s="99" t="str">
        <f t="shared" si="9"/>
        <v/>
      </c>
      <c r="S35" s="99" t="str">
        <f>IF(F35&lt;&gt;"",IF(AND(VLOOKUP(C35,競技一覧!$T$5:$U$50,2,TRUE)="Y",OR(VLOOKUP(D35,選手登録!$A$7:$I$56,9,TRUE)="",VLOOKUP(E35,馬匹登録!$A$8:$D$54,4,TRUE)="")),$S$1,""),"")</f>
        <v/>
      </c>
      <c r="T35" s="99" t="str">
        <f t="shared" si="1"/>
        <v/>
      </c>
      <c r="U35" s="99">
        <f t="shared" si="2"/>
        <v>0</v>
      </c>
      <c r="V35" s="99" t="str">
        <f>IFERROR(VLOOKUP(C35,競技一覧!$T$5:$AA$50,8,TRUE),"")</f>
        <v/>
      </c>
      <c r="X35" s="99">
        <f t="shared" si="3"/>
        <v>30</v>
      </c>
      <c r="Y35" s="99" t="str">
        <f t="shared" si="4"/>
        <v/>
      </c>
      <c r="Z35" s="99" t="str">
        <f t="shared" si="5"/>
        <v/>
      </c>
      <c r="AA35" s="99" t="str">
        <f t="shared" si="6"/>
        <v/>
      </c>
      <c r="AB35" s="99" t="str">
        <f>IF(J35&lt;&gt;"",VLOOKUP(J35,リスト!$H$2:$I$5,2,FALSE),"")</f>
        <v/>
      </c>
      <c r="AC35" s="99" t="str">
        <f t="shared" si="12"/>
        <v/>
      </c>
      <c r="AD35" s="99" t="str">
        <f t="shared" si="11"/>
        <v/>
      </c>
    </row>
    <row r="36" spans="1:30" ht="23.25" customHeight="1" x14ac:dyDescent="0.4">
      <c r="A36" s="256">
        <v>31</v>
      </c>
      <c r="B36" s="258" t="str">
        <f>IF(F36&lt;&gt;"",VLOOKUP(F36,競技一覧!$P$5:$T$50,4,FALSE),"")</f>
        <v/>
      </c>
      <c r="C36" s="138" t="str">
        <f>IF(F36&lt;&gt;"",VLOOKUP(F36,競技一覧!$P$5:$T$50,5,FALSE),"")</f>
        <v/>
      </c>
      <c r="D36" s="138" t="str">
        <f>IF(G36&lt;&gt;"",VLOOKUP(G36,選手登録!$L$7:$O$56,4,FALSE),"")</f>
        <v/>
      </c>
      <c r="E36" s="138" t="str">
        <f>IF(H36&lt;&gt;"",VLOOKUP(H36,馬匹登録!$B$8:$G$54,6,FALSE),"")</f>
        <v/>
      </c>
      <c r="F36" s="254"/>
      <c r="G36" s="147"/>
      <c r="H36" s="147"/>
      <c r="I36" s="81" t="str">
        <f>IF(D36&lt;&gt;"",IF(VLOOKUP(D36,選手登録!$A$7:$H$56,8,FALSE)&lt;&gt;"",VLOOKUP(D36,選手登録!$A$7:$H$56,8,FALSE),団体登録!$B$6),"")</f>
        <v/>
      </c>
      <c r="J36" s="151"/>
      <c r="K36" s="28" t="str">
        <f>IF(AND(C36&lt;&gt;"",J36&lt;&gt;""),VLOOKUP(C36,競技一覧!$T$5:$Z$50,3+VLOOKUP(J36,リスト!$H$2:$I$5,2,FALSE),FALSE),"")</f>
        <v/>
      </c>
      <c r="L36" s="148"/>
      <c r="M36" s="264" t="str">
        <f t="shared" si="7"/>
        <v/>
      </c>
      <c r="N36" t="s">
        <v>205</v>
      </c>
      <c r="O36" s="99" t="str">
        <f t="shared" si="0"/>
        <v/>
      </c>
      <c r="P36" s="99" t="str">
        <f t="shared" si="8"/>
        <v/>
      </c>
      <c r="Q36" s="99" t="str">
        <f>IF(J36="社馬連",IF(IFERROR(VLOOKUP(I36,リスト!$E$10:$G$50,2,FALSE),2)&lt;&gt;0,$Q$1,""),"")</f>
        <v/>
      </c>
      <c r="R36" s="99" t="str">
        <f t="shared" si="9"/>
        <v/>
      </c>
      <c r="S36" s="99" t="str">
        <f>IF(F36&lt;&gt;"",IF(AND(VLOOKUP(C36,競技一覧!$T$5:$U$50,2,TRUE)="Y",OR(VLOOKUP(D36,選手登録!$A$7:$I$56,9,TRUE)="",VLOOKUP(E36,馬匹登録!$A$8:$D$54,4,TRUE)="")),$S$1,""),"")</f>
        <v/>
      </c>
      <c r="T36" s="99" t="str">
        <f t="shared" si="1"/>
        <v/>
      </c>
      <c r="U36" s="99">
        <f t="shared" si="2"/>
        <v>0</v>
      </c>
      <c r="V36" s="99" t="str">
        <f>IFERROR(VLOOKUP(C36,競技一覧!$T$5:$AA$50,8,TRUE),"")</f>
        <v/>
      </c>
      <c r="X36" s="99">
        <f t="shared" si="3"/>
        <v>31</v>
      </c>
      <c r="Y36" s="99" t="str">
        <f t="shared" si="4"/>
        <v/>
      </c>
      <c r="Z36" s="99" t="str">
        <f t="shared" si="5"/>
        <v/>
      </c>
      <c r="AA36" s="99" t="str">
        <f t="shared" si="6"/>
        <v/>
      </c>
      <c r="AB36" s="99" t="str">
        <f>IF(J36&lt;&gt;"",VLOOKUP(J36,リスト!$H$2:$I$5,2,FALSE),"")</f>
        <v/>
      </c>
      <c r="AC36" s="99" t="str">
        <f t="shared" si="12"/>
        <v/>
      </c>
      <c r="AD36" s="99" t="str">
        <f t="shared" si="11"/>
        <v/>
      </c>
    </row>
    <row r="37" spans="1:30" ht="23.25" customHeight="1" x14ac:dyDescent="0.4">
      <c r="A37" s="256">
        <v>32</v>
      </c>
      <c r="B37" s="258" t="str">
        <f>IF(F37&lt;&gt;"",VLOOKUP(F37,競技一覧!$P$5:$T$50,4,FALSE),"")</f>
        <v/>
      </c>
      <c r="C37" s="138" t="str">
        <f>IF(F37&lt;&gt;"",VLOOKUP(F37,競技一覧!$P$5:$T$50,5,FALSE),"")</f>
        <v/>
      </c>
      <c r="D37" s="138" t="str">
        <f>IF(G37&lt;&gt;"",VLOOKUP(G37,選手登録!$L$7:$O$56,4,FALSE),"")</f>
        <v/>
      </c>
      <c r="E37" s="138" t="str">
        <f>IF(H37&lt;&gt;"",VLOOKUP(H37,馬匹登録!$B$8:$G$54,6,FALSE),"")</f>
        <v/>
      </c>
      <c r="F37" s="254"/>
      <c r="G37" s="147"/>
      <c r="H37" s="147"/>
      <c r="I37" s="81" t="str">
        <f>IF(D37&lt;&gt;"",IF(VLOOKUP(D37,選手登録!$A$7:$H$56,8,FALSE)&lt;&gt;"",VLOOKUP(D37,選手登録!$A$7:$H$56,8,FALSE),団体登録!$B$6),"")</f>
        <v/>
      </c>
      <c r="J37" s="151"/>
      <c r="K37" s="28" t="str">
        <f>IF(AND(C37&lt;&gt;"",J37&lt;&gt;""),VLOOKUP(C37,競技一覧!$T$5:$Z$50,3+VLOOKUP(J37,リスト!$H$2:$I$5,2,FALSE),FALSE),"")</f>
        <v/>
      </c>
      <c r="L37" s="148"/>
      <c r="M37" s="264" t="str">
        <f t="shared" si="7"/>
        <v/>
      </c>
      <c r="N37" t="s">
        <v>205</v>
      </c>
      <c r="O37" s="99" t="str">
        <f t="shared" si="0"/>
        <v/>
      </c>
      <c r="P37" s="99" t="str">
        <f t="shared" si="8"/>
        <v/>
      </c>
      <c r="Q37" s="99" t="str">
        <f>IF(J37="社馬連",IF(IFERROR(VLOOKUP(I37,リスト!$E$10:$G$50,2,FALSE),2)&lt;&gt;0,$Q$1,""),"")</f>
        <v/>
      </c>
      <c r="R37" s="99" t="str">
        <f t="shared" si="9"/>
        <v/>
      </c>
      <c r="S37" s="99" t="str">
        <f>IF(F37&lt;&gt;"",IF(AND(VLOOKUP(C37,競技一覧!$T$5:$U$50,2,TRUE)="Y",OR(VLOOKUP(D37,選手登録!$A$7:$I$56,9,TRUE)="",VLOOKUP(E37,馬匹登録!$A$8:$D$54,4,TRUE)="")),$S$1,""),"")</f>
        <v/>
      </c>
      <c r="T37" s="99" t="str">
        <f t="shared" si="1"/>
        <v/>
      </c>
      <c r="U37" s="99">
        <f t="shared" si="2"/>
        <v>0</v>
      </c>
      <c r="V37" s="99" t="str">
        <f>IFERROR(VLOOKUP(C37,競技一覧!$T$5:$AA$50,8,TRUE),"")</f>
        <v/>
      </c>
      <c r="X37" s="99">
        <f t="shared" si="3"/>
        <v>32</v>
      </c>
      <c r="Y37" s="99" t="str">
        <f t="shared" si="4"/>
        <v/>
      </c>
      <c r="Z37" s="99" t="str">
        <f t="shared" si="5"/>
        <v/>
      </c>
      <c r="AA37" s="99" t="str">
        <f t="shared" si="6"/>
        <v/>
      </c>
      <c r="AB37" s="99" t="str">
        <f>IF(J37&lt;&gt;"",VLOOKUP(J37,リスト!$H$2:$I$5,2,FALSE),"")</f>
        <v/>
      </c>
      <c r="AC37" s="99" t="str">
        <f t="shared" si="12"/>
        <v/>
      </c>
      <c r="AD37" s="99" t="str">
        <f t="shared" si="11"/>
        <v/>
      </c>
    </row>
    <row r="38" spans="1:30" ht="23.25" customHeight="1" x14ac:dyDescent="0.4">
      <c r="A38" s="256">
        <v>33</v>
      </c>
      <c r="B38" s="258" t="str">
        <f>IF(F38&lt;&gt;"",VLOOKUP(F38,競技一覧!$P$5:$T$50,4,FALSE),"")</f>
        <v/>
      </c>
      <c r="C38" s="138" t="str">
        <f>IF(F38&lt;&gt;"",VLOOKUP(F38,競技一覧!$P$5:$T$50,5,FALSE),"")</f>
        <v/>
      </c>
      <c r="D38" s="138" t="str">
        <f>IF(G38&lt;&gt;"",VLOOKUP(G38,選手登録!$L$7:$O$56,4,FALSE),"")</f>
        <v/>
      </c>
      <c r="E38" s="138" t="str">
        <f>IF(H38&lt;&gt;"",VLOOKUP(H38,馬匹登録!$B$8:$G$54,6,FALSE),"")</f>
        <v/>
      </c>
      <c r="F38" s="254"/>
      <c r="G38" s="147"/>
      <c r="H38" s="147"/>
      <c r="I38" s="81" t="str">
        <f>IF(D38&lt;&gt;"",IF(VLOOKUP(D38,選手登録!$A$7:$H$56,8,FALSE)&lt;&gt;"",VLOOKUP(D38,選手登録!$A$7:$H$56,8,FALSE),団体登録!$B$6),"")</f>
        <v/>
      </c>
      <c r="J38" s="151"/>
      <c r="K38" s="28" t="str">
        <f>IF(AND(C38&lt;&gt;"",J38&lt;&gt;""),VLOOKUP(C38,競技一覧!$T$5:$Z$50,3+VLOOKUP(J38,リスト!$H$2:$I$5,2,FALSE),FALSE),"")</f>
        <v/>
      </c>
      <c r="L38" s="148"/>
      <c r="M38" s="264" t="str">
        <f t="shared" si="7"/>
        <v/>
      </c>
      <c r="N38" t="s">
        <v>205</v>
      </c>
      <c r="O38" s="99" t="str">
        <f t="shared" ref="O38:O69" si="13">IF(B38&lt;&gt;"",A38,"")</f>
        <v/>
      </c>
      <c r="P38" s="99" t="str">
        <f t="shared" si="8"/>
        <v/>
      </c>
      <c r="Q38" s="99" t="str">
        <f>IF(J38="社馬連",IF(IFERROR(VLOOKUP(I38,リスト!$E$10:$G$50,2,FALSE),2)&lt;&gt;0,$Q$1,""),"")</f>
        <v/>
      </c>
      <c r="R38" s="99" t="str">
        <f t="shared" si="9"/>
        <v/>
      </c>
      <c r="S38" s="99" t="str">
        <f>IF(F38&lt;&gt;"",IF(AND(VLOOKUP(C38,競技一覧!$T$5:$U$50,2,TRUE)="Y",OR(VLOOKUP(D38,選手登録!$A$7:$I$56,9,TRUE)="",VLOOKUP(E38,馬匹登録!$A$8:$D$54,4,TRUE)="")),$S$1,""),"")</f>
        <v/>
      </c>
      <c r="T38" s="99" t="str">
        <f t="shared" ref="T38:T69" si="14">IF(AND(B38&lt;&gt;"",D38&lt;&gt;"",E38&lt;&gt;""),B38&amp;"-"&amp;D38&amp;"-"&amp;E38,"")</f>
        <v/>
      </c>
      <c r="U38" s="99">
        <f t="shared" ref="U38:U69" si="15">IF(T38&lt;&gt;"",COUNTIF($T$6:$T$85,T38),0)</f>
        <v>0</v>
      </c>
      <c r="V38" s="99" t="str">
        <f>IFERROR(VLOOKUP(C38,競技一覧!$T$5:$AA$50,8,TRUE),"")</f>
        <v/>
      </c>
      <c r="X38" s="99">
        <f t="shared" ref="X38:X69" si="16">A38</f>
        <v>33</v>
      </c>
      <c r="Y38" s="99" t="str">
        <f t="shared" ref="Y38:Y69" si="17">IF(F38&lt;&gt;"",C38,"")</f>
        <v/>
      </c>
      <c r="Z38" s="99" t="str">
        <f t="shared" ref="Z38:Z69" si="18">IF(G38&lt;&gt;"",D38,"")</f>
        <v/>
      </c>
      <c r="AA38" s="99" t="str">
        <f t="shared" ref="AA38:AA69" si="19">IF(H38&lt;&gt;"",E38,"")</f>
        <v/>
      </c>
      <c r="AB38" s="99" t="str">
        <f>IF(J38&lt;&gt;"",VLOOKUP(J38,リスト!$H$2:$I$5,2,FALSE),"")</f>
        <v/>
      </c>
      <c r="AC38" s="99" t="str">
        <f t="shared" si="12"/>
        <v/>
      </c>
      <c r="AD38" s="99" t="str">
        <f t="shared" si="11"/>
        <v/>
      </c>
    </row>
    <row r="39" spans="1:30" ht="23.25" customHeight="1" x14ac:dyDescent="0.4">
      <c r="A39" s="256">
        <v>34</v>
      </c>
      <c r="B39" s="258" t="str">
        <f>IF(F39&lt;&gt;"",VLOOKUP(F39,競技一覧!$P$5:$T$50,4,FALSE),"")</f>
        <v/>
      </c>
      <c r="C39" s="138" t="str">
        <f>IF(F39&lt;&gt;"",VLOOKUP(F39,競技一覧!$P$5:$T$50,5,FALSE),"")</f>
        <v/>
      </c>
      <c r="D39" s="138" t="str">
        <f>IF(G39&lt;&gt;"",VLOOKUP(G39,選手登録!$L$7:$O$56,4,FALSE),"")</f>
        <v/>
      </c>
      <c r="E39" s="138" t="str">
        <f>IF(H39&lt;&gt;"",VLOOKUP(H39,馬匹登録!$B$8:$G$54,6,FALSE),"")</f>
        <v/>
      </c>
      <c r="F39" s="254"/>
      <c r="G39" s="147"/>
      <c r="H39" s="147"/>
      <c r="I39" s="81" t="str">
        <f>IF(D39&lt;&gt;"",IF(VLOOKUP(D39,選手登録!$A$7:$H$56,8,FALSE)&lt;&gt;"",VLOOKUP(D39,選手登録!$A$7:$H$56,8,FALSE),団体登録!$B$6),"")</f>
        <v/>
      </c>
      <c r="J39" s="151"/>
      <c r="K39" s="28" t="str">
        <f>IF(AND(C39&lt;&gt;"",J39&lt;&gt;""),VLOOKUP(C39,競技一覧!$T$5:$Z$50,3+VLOOKUP(J39,リスト!$H$2:$I$5,2,FALSE),FALSE),"")</f>
        <v/>
      </c>
      <c r="L39" s="148"/>
      <c r="M39" s="264" t="str">
        <f t="shared" si="7"/>
        <v/>
      </c>
      <c r="N39" t="s">
        <v>205</v>
      </c>
      <c r="O39" s="99" t="str">
        <f t="shared" si="13"/>
        <v/>
      </c>
      <c r="P39" s="99" t="str">
        <f t="shared" si="8"/>
        <v/>
      </c>
      <c r="Q39" s="99" t="str">
        <f>IF(J39="社馬連",IF(IFERROR(VLOOKUP(I39,リスト!$E$10:$G$50,2,FALSE),2)&lt;&gt;0,$Q$1,""),"")</f>
        <v/>
      </c>
      <c r="R39" s="99" t="str">
        <f t="shared" si="9"/>
        <v/>
      </c>
      <c r="S39" s="99" t="str">
        <f>IF(F39&lt;&gt;"",IF(AND(VLOOKUP(C39,競技一覧!$T$5:$U$50,2,TRUE)="Y",OR(VLOOKUP(D39,選手登録!$A$7:$I$56,9,TRUE)="",VLOOKUP(E39,馬匹登録!$A$8:$D$54,4,TRUE)="")),$S$1,""),"")</f>
        <v/>
      </c>
      <c r="T39" s="99" t="str">
        <f t="shared" si="14"/>
        <v/>
      </c>
      <c r="U39" s="99">
        <f t="shared" si="15"/>
        <v>0</v>
      </c>
      <c r="V39" s="99" t="str">
        <f>IFERROR(VLOOKUP(C39,競技一覧!$T$5:$AA$50,8,TRUE),"")</f>
        <v/>
      </c>
      <c r="X39" s="99">
        <f t="shared" si="16"/>
        <v>34</v>
      </c>
      <c r="Y39" s="99" t="str">
        <f t="shared" si="17"/>
        <v/>
      </c>
      <c r="Z39" s="99" t="str">
        <f t="shared" si="18"/>
        <v/>
      </c>
      <c r="AA39" s="99" t="str">
        <f t="shared" si="19"/>
        <v/>
      </c>
      <c r="AB39" s="99" t="str">
        <f>IF(J39&lt;&gt;"",VLOOKUP(J39,リスト!$H$2:$I$5,2,FALSE),"")</f>
        <v/>
      </c>
      <c r="AC39" s="99" t="str">
        <f t="shared" si="12"/>
        <v/>
      </c>
      <c r="AD39" s="99" t="str">
        <f t="shared" si="11"/>
        <v/>
      </c>
    </row>
    <row r="40" spans="1:30" ht="23.25" customHeight="1" x14ac:dyDescent="0.4">
      <c r="A40" s="256">
        <v>35</v>
      </c>
      <c r="B40" s="258" t="str">
        <f>IF(F40&lt;&gt;"",VLOOKUP(F40,競技一覧!$P$5:$T$50,4,FALSE),"")</f>
        <v/>
      </c>
      <c r="C40" s="138" t="str">
        <f>IF(F40&lt;&gt;"",VLOOKUP(F40,競技一覧!$P$5:$T$50,5,FALSE),"")</f>
        <v/>
      </c>
      <c r="D40" s="138" t="str">
        <f>IF(G40&lt;&gt;"",VLOOKUP(G40,選手登録!$L$7:$O$56,4,FALSE),"")</f>
        <v/>
      </c>
      <c r="E40" s="138" t="str">
        <f>IF(H40&lt;&gt;"",VLOOKUP(H40,馬匹登録!$B$8:$G$54,6,FALSE),"")</f>
        <v/>
      </c>
      <c r="F40" s="254"/>
      <c r="G40" s="147"/>
      <c r="H40" s="147"/>
      <c r="I40" s="81" t="str">
        <f>IF(D40&lt;&gt;"",IF(VLOOKUP(D40,選手登録!$A$7:$H$56,8,FALSE)&lt;&gt;"",VLOOKUP(D40,選手登録!$A$7:$H$56,8,FALSE),団体登録!$B$6),"")</f>
        <v/>
      </c>
      <c r="J40" s="151"/>
      <c r="K40" s="28" t="str">
        <f>IF(AND(C40&lt;&gt;"",J40&lt;&gt;""),VLOOKUP(C40,競技一覧!$T$5:$Z$50,3+VLOOKUP(J40,リスト!$H$2:$I$5,2,FALSE),FALSE),"")</f>
        <v/>
      </c>
      <c r="L40" s="148"/>
      <c r="M40" s="264" t="str">
        <f t="shared" si="7"/>
        <v/>
      </c>
      <c r="N40" t="s">
        <v>205</v>
      </c>
      <c r="O40" s="99" t="str">
        <f t="shared" si="13"/>
        <v/>
      </c>
      <c r="P40" s="99" t="str">
        <f t="shared" si="8"/>
        <v/>
      </c>
      <c r="Q40" s="99" t="str">
        <f>IF(J40="社馬連",IF(IFERROR(VLOOKUP(I40,リスト!$E$10:$G$50,2,FALSE),2)&lt;&gt;0,$Q$1,""),"")</f>
        <v/>
      </c>
      <c r="R40" s="99" t="str">
        <f t="shared" si="9"/>
        <v/>
      </c>
      <c r="S40" s="99" t="str">
        <f>IF(F40&lt;&gt;"",IF(AND(VLOOKUP(C40,競技一覧!$T$5:$U$50,2,TRUE)="Y",OR(VLOOKUP(D40,選手登録!$A$7:$I$56,9,TRUE)="",VLOOKUP(E40,馬匹登録!$A$8:$D$54,4,TRUE)="")),$S$1,""),"")</f>
        <v/>
      </c>
      <c r="T40" s="99" t="str">
        <f t="shared" si="14"/>
        <v/>
      </c>
      <c r="U40" s="99">
        <f t="shared" si="15"/>
        <v>0</v>
      </c>
      <c r="V40" s="99" t="str">
        <f>IFERROR(VLOOKUP(C40,競技一覧!$T$5:$AA$50,8,TRUE),"")</f>
        <v/>
      </c>
      <c r="X40" s="99">
        <f t="shared" si="16"/>
        <v>35</v>
      </c>
      <c r="Y40" s="99" t="str">
        <f t="shared" si="17"/>
        <v/>
      </c>
      <c r="Z40" s="99" t="str">
        <f t="shared" si="18"/>
        <v/>
      </c>
      <c r="AA40" s="99" t="str">
        <f t="shared" si="19"/>
        <v/>
      </c>
      <c r="AB40" s="99" t="str">
        <f>IF(J40&lt;&gt;"",VLOOKUP(J40,リスト!$H$2:$I$5,2,FALSE),"")</f>
        <v/>
      </c>
      <c r="AC40" s="99" t="str">
        <f t="shared" si="12"/>
        <v/>
      </c>
      <c r="AD40" s="99" t="str">
        <f t="shared" si="11"/>
        <v/>
      </c>
    </row>
    <row r="41" spans="1:30" ht="23.25" customHeight="1" x14ac:dyDescent="0.4">
      <c r="A41" s="256">
        <v>36</v>
      </c>
      <c r="B41" s="258" t="str">
        <f>IF(F41&lt;&gt;"",VLOOKUP(F41,競技一覧!$P$5:$T$50,4,FALSE),"")</f>
        <v/>
      </c>
      <c r="C41" s="138" t="str">
        <f>IF(F41&lt;&gt;"",VLOOKUP(F41,競技一覧!$P$5:$T$50,5,FALSE),"")</f>
        <v/>
      </c>
      <c r="D41" s="138" t="str">
        <f>IF(G41&lt;&gt;"",VLOOKUP(G41,選手登録!$L$7:$O$56,4,FALSE),"")</f>
        <v/>
      </c>
      <c r="E41" s="138" t="str">
        <f>IF(H41&lt;&gt;"",VLOOKUP(H41,馬匹登録!$B$8:$G$54,6,FALSE),"")</f>
        <v/>
      </c>
      <c r="F41" s="254"/>
      <c r="G41" s="147"/>
      <c r="H41" s="147"/>
      <c r="I41" s="81" t="str">
        <f>IF(D41&lt;&gt;"",IF(VLOOKUP(D41,選手登録!$A$7:$H$56,8,FALSE)&lt;&gt;"",VLOOKUP(D41,選手登録!$A$7:$H$56,8,FALSE),団体登録!$B$6),"")</f>
        <v/>
      </c>
      <c r="J41" s="151"/>
      <c r="K41" s="28" t="str">
        <f>IF(AND(C41&lt;&gt;"",J41&lt;&gt;""),VLOOKUP(C41,競技一覧!$T$5:$Z$50,3+VLOOKUP(J41,リスト!$H$2:$I$5,2,FALSE),FALSE),"")</f>
        <v/>
      </c>
      <c r="L41" s="148"/>
      <c r="M41" s="264" t="str">
        <f t="shared" si="7"/>
        <v/>
      </c>
      <c r="N41" t="s">
        <v>205</v>
      </c>
      <c r="O41" s="99" t="str">
        <f t="shared" si="13"/>
        <v/>
      </c>
      <c r="P41" s="99" t="str">
        <f t="shared" si="8"/>
        <v/>
      </c>
      <c r="Q41" s="99" t="str">
        <f>IF(J41="社馬連",IF(IFERROR(VLOOKUP(I41,リスト!$E$10:$G$50,2,FALSE),2)&lt;&gt;0,$Q$1,""),"")</f>
        <v/>
      </c>
      <c r="R41" s="99" t="str">
        <f t="shared" si="9"/>
        <v/>
      </c>
      <c r="S41" s="99" t="str">
        <f>IF(F41&lt;&gt;"",IF(AND(VLOOKUP(C41,競技一覧!$T$5:$U$50,2,TRUE)="Y",OR(VLOOKUP(D41,選手登録!$A$7:$I$56,9,TRUE)="",VLOOKUP(E41,馬匹登録!$A$8:$D$54,4,TRUE)="")),$S$1,""),"")</f>
        <v/>
      </c>
      <c r="T41" s="99" t="str">
        <f t="shared" si="14"/>
        <v/>
      </c>
      <c r="U41" s="99">
        <f t="shared" si="15"/>
        <v>0</v>
      </c>
      <c r="V41" s="99" t="str">
        <f>IFERROR(VLOOKUP(C41,競技一覧!$T$5:$AA$50,8,TRUE),"")</f>
        <v/>
      </c>
      <c r="X41" s="99">
        <f t="shared" si="16"/>
        <v>36</v>
      </c>
      <c r="Y41" s="99" t="str">
        <f t="shared" si="17"/>
        <v/>
      </c>
      <c r="Z41" s="99" t="str">
        <f t="shared" si="18"/>
        <v/>
      </c>
      <c r="AA41" s="99" t="str">
        <f t="shared" si="19"/>
        <v/>
      </c>
      <c r="AB41" s="99" t="str">
        <f>IF(J41&lt;&gt;"",VLOOKUP(J41,リスト!$H$2:$I$5,2,FALSE),"")</f>
        <v/>
      </c>
      <c r="AC41" s="99" t="str">
        <f t="shared" si="12"/>
        <v/>
      </c>
      <c r="AD41" s="99" t="str">
        <f t="shared" si="11"/>
        <v/>
      </c>
    </row>
    <row r="42" spans="1:30" ht="23.25" customHeight="1" x14ac:dyDescent="0.4">
      <c r="A42" s="256">
        <v>37</v>
      </c>
      <c r="B42" s="258" t="str">
        <f>IF(F42&lt;&gt;"",VLOOKUP(F42,競技一覧!$P$5:$T$50,4,FALSE),"")</f>
        <v/>
      </c>
      <c r="C42" s="138" t="str">
        <f>IF(F42&lt;&gt;"",VLOOKUP(F42,競技一覧!$P$5:$T$50,5,FALSE),"")</f>
        <v/>
      </c>
      <c r="D42" s="138" t="str">
        <f>IF(G42&lt;&gt;"",VLOOKUP(G42,選手登録!$L$7:$O$56,4,FALSE),"")</f>
        <v/>
      </c>
      <c r="E42" s="138" t="str">
        <f>IF(H42&lt;&gt;"",VLOOKUP(H42,馬匹登録!$B$8:$G$54,6,FALSE),"")</f>
        <v/>
      </c>
      <c r="F42" s="254"/>
      <c r="G42" s="147"/>
      <c r="H42" s="147"/>
      <c r="I42" s="81" t="str">
        <f>IF(D42&lt;&gt;"",IF(VLOOKUP(D42,選手登録!$A$7:$H$56,8,FALSE)&lt;&gt;"",VLOOKUP(D42,選手登録!$A$7:$H$56,8,FALSE),団体登録!$B$6),"")</f>
        <v/>
      </c>
      <c r="J42" s="151"/>
      <c r="K42" s="28" t="str">
        <f>IF(AND(C42&lt;&gt;"",J42&lt;&gt;""),VLOOKUP(C42,競技一覧!$T$5:$Z$50,3+VLOOKUP(J42,リスト!$H$2:$I$5,2,FALSE),FALSE),"")</f>
        <v/>
      </c>
      <c r="L42" s="148"/>
      <c r="M42" s="264" t="str">
        <f t="shared" si="7"/>
        <v/>
      </c>
      <c r="N42" t="s">
        <v>205</v>
      </c>
      <c r="O42" s="99" t="str">
        <f t="shared" si="13"/>
        <v/>
      </c>
      <c r="P42" s="99" t="str">
        <f t="shared" si="8"/>
        <v/>
      </c>
      <c r="Q42" s="99" t="str">
        <f>IF(J42="社馬連",IF(IFERROR(VLOOKUP(I42,リスト!$E$10:$G$50,2,FALSE),2)&lt;&gt;0,$Q$1,""),"")</f>
        <v/>
      </c>
      <c r="R42" s="99" t="str">
        <f t="shared" si="9"/>
        <v/>
      </c>
      <c r="S42" s="99" t="str">
        <f>IF(F42&lt;&gt;"",IF(AND(VLOOKUP(C42,競技一覧!$T$5:$U$50,2,TRUE)="Y",OR(VLOOKUP(D42,選手登録!$A$7:$I$56,9,TRUE)="",VLOOKUP(E42,馬匹登録!$A$8:$D$54,4,TRUE)="")),$S$1,""),"")</f>
        <v/>
      </c>
      <c r="T42" s="99" t="str">
        <f t="shared" si="14"/>
        <v/>
      </c>
      <c r="U42" s="99">
        <f t="shared" si="15"/>
        <v>0</v>
      </c>
      <c r="V42" s="99" t="str">
        <f>IFERROR(VLOOKUP(C42,競技一覧!$T$5:$AA$50,8,TRUE),"")</f>
        <v/>
      </c>
      <c r="X42" s="99">
        <f t="shared" si="16"/>
        <v>37</v>
      </c>
      <c r="Y42" s="99" t="str">
        <f t="shared" si="17"/>
        <v/>
      </c>
      <c r="Z42" s="99" t="str">
        <f t="shared" si="18"/>
        <v/>
      </c>
      <c r="AA42" s="99" t="str">
        <f t="shared" si="19"/>
        <v/>
      </c>
      <c r="AB42" s="99" t="str">
        <f>IF(J42&lt;&gt;"",VLOOKUP(J42,リスト!$H$2:$I$5,2,FALSE),"")</f>
        <v/>
      </c>
      <c r="AC42" s="99" t="str">
        <f t="shared" si="12"/>
        <v/>
      </c>
      <c r="AD42" s="99" t="str">
        <f t="shared" si="11"/>
        <v/>
      </c>
    </row>
    <row r="43" spans="1:30" ht="23.25" customHeight="1" x14ac:dyDescent="0.4">
      <c r="A43" s="256">
        <v>38</v>
      </c>
      <c r="B43" s="258" t="str">
        <f>IF(F43&lt;&gt;"",VLOOKUP(F43,競技一覧!$P$5:$T$50,4,FALSE),"")</f>
        <v/>
      </c>
      <c r="C43" s="138" t="str">
        <f>IF(F43&lt;&gt;"",VLOOKUP(F43,競技一覧!$P$5:$T$50,5,FALSE),"")</f>
        <v/>
      </c>
      <c r="D43" s="138" t="str">
        <f>IF(G43&lt;&gt;"",VLOOKUP(G43,選手登録!$L$7:$O$56,4,FALSE),"")</f>
        <v/>
      </c>
      <c r="E43" s="138" t="str">
        <f>IF(H43&lt;&gt;"",VLOOKUP(H43,馬匹登録!$B$8:$G$54,6,FALSE),"")</f>
        <v/>
      </c>
      <c r="F43" s="254"/>
      <c r="G43" s="147"/>
      <c r="H43" s="147"/>
      <c r="I43" s="81" t="str">
        <f>IF(D43&lt;&gt;"",IF(VLOOKUP(D43,選手登録!$A$7:$H$56,8,FALSE)&lt;&gt;"",VLOOKUP(D43,選手登録!$A$7:$H$56,8,FALSE),団体登録!$B$6),"")</f>
        <v/>
      </c>
      <c r="J43" s="151"/>
      <c r="K43" s="28" t="str">
        <f>IF(AND(C43&lt;&gt;"",J43&lt;&gt;""),VLOOKUP(C43,競技一覧!$T$5:$Z$50,3+VLOOKUP(J43,リスト!$H$2:$I$5,2,FALSE),FALSE),"")</f>
        <v/>
      </c>
      <c r="L43" s="148"/>
      <c r="M43" s="264" t="str">
        <f t="shared" si="7"/>
        <v/>
      </c>
      <c r="N43" t="s">
        <v>205</v>
      </c>
      <c r="O43" s="99" t="str">
        <f t="shared" si="13"/>
        <v/>
      </c>
      <c r="P43" s="99" t="str">
        <f t="shared" si="8"/>
        <v/>
      </c>
      <c r="Q43" s="99" t="str">
        <f>IF(J43="社馬連",IF(IFERROR(VLOOKUP(I43,リスト!$E$10:$G$50,2,FALSE),2)&lt;&gt;0,$Q$1,""),"")</f>
        <v/>
      </c>
      <c r="R43" s="99" t="str">
        <f t="shared" si="9"/>
        <v/>
      </c>
      <c r="S43" s="99" t="str">
        <f>IF(F43&lt;&gt;"",IF(AND(VLOOKUP(C43,競技一覧!$T$5:$U$50,2,TRUE)="Y",OR(VLOOKUP(D43,選手登録!$A$7:$I$56,9,TRUE)="",VLOOKUP(E43,馬匹登録!$A$8:$D$54,4,TRUE)="")),$S$1,""),"")</f>
        <v/>
      </c>
      <c r="T43" s="99" t="str">
        <f t="shared" si="14"/>
        <v/>
      </c>
      <c r="U43" s="99">
        <f t="shared" si="15"/>
        <v>0</v>
      </c>
      <c r="V43" s="99" t="str">
        <f>IFERROR(VLOOKUP(C43,競技一覧!$T$5:$AA$50,8,TRUE),"")</f>
        <v/>
      </c>
      <c r="X43" s="99">
        <f t="shared" si="16"/>
        <v>38</v>
      </c>
      <c r="Y43" s="99" t="str">
        <f t="shared" si="17"/>
        <v/>
      </c>
      <c r="Z43" s="99" t="str">
        <f t="shared" si="18"/>
        <v/>
      </c>
      <c r="AA43" s="99" t="str">
        <f t="shared" si="19"/>
        <v/>
      </c>
      <c r="AB43" s="99" t="str">
        <f>IF(J43&lt;&gt;"",VLOOKUP(J43,リスト!$H$2:$I$5,2,FALSE),"")</f>
        <v/>
      </c>
      <c r="AC43" s="99" t="str">
        <f t="shared" si="12"/>
        <v/>
      </c>
      <c r="AD43" s="99" t="str">
        <f t="shared" si="11"/>
        <v/>
      </c>
    </row>
    <row r="44" spans="1:30" ht="23.25" customHeight="1" x14ac:dyDescent="0.4">
      <c r="A44" s="256">
        <v>39</v>
      </c>
      <c r="B44" s="258" t="str">
        <f>IF(F44&lt;&gt;"",VLOOKUP(F44,競技一覧!$P$5:$T$50,4,FALSE),"")</f>
        <v/>
      </c>
      <c r="C44" s="138" t="str">
        <f>IF(F44&lt;&gt;"",VLOOKUP(F44,競技一覧!$P$5:$T$50,5,FALSE),"")</f>
        <v/>
      </c>
      <c r="D44" s="138" t="str">
        <f>IF(G44&lt;&gt;"",VLOOKUP(G44,選手登録!$L$7:$O$56,4,FALSE),"")</f>
        <v/>
      </c>
      <c r="E44" s="138" t="str">
        <f>IF(H44&lt;&gt;"",VLOOKUP(H44,馬匹登録!$B$8:$G$54,6,FALSE),"")</f>
        <v/>
      </c>
      <c r="F44" s="254"/>
      <c r="G44" s="147"/>
      <c r="H44" s="147"/>
      <c r="I44" s="81" t="str">
        <f>IF(D44&lt;&gt;"",IF(VLOOKUP(D44,選手登録!$A$7:$H$56,8,FALSE)&lt;&gt;"",VLOOKUP(D44,選手登録!$A$7:$H$56,8,FALSE),団体登録!$B$6),"")</f>
        <v/>
      </c>
      <c r="J44" s="151"/>
      <c r="K44" s="28" t="str">
        <f>IF(AND(C44&lt;&gt;"",J44&lt;&gt;""),VLOOKUP(C44,競技一覧!$T$5:$Z$50,3+VLOOKUP(J44,リスト!$H$2:$I$5,2,FALSE),FALSE),"")</f>
        <v/>
      </c>
      <c r="L44" s="148"/>
      <c r="M44" s="264" t="str">
        <f t="shared" si="7"/>
        <v/>
      </c>
      <c r="N44" t="s">
        <v>205</v>
      </c>
      <c r="O44" s="99" t="str">
        <f t="shared" si="13"/>
        <v/>
      </c>
      <c r="P44" s="99" t="str">
        <f t="shared" si="8"/>
        <v/>
      </c>
      <c r="Q44" s="99" t="str">
        <f>IF(J44="社馬連",IF(IFERROR(VLOOKUP(I44,リスト!$E$10:$G$50,2,FALSE),2)&lt;&gt;0,$Q$1,""),"")</f>
        <v/>
      </c>
      <c r="R44" s="99" t="str">
        <f t="shared" si="9"/>
        <v/>
      </c>
      <c r="S44" s="99" t="str">
        <f>IF(F44&lt;&gt;"",IF(AND(VLOOKUP(C44,競技一覧!$T$5:$U$50,2,TRUE)="Y",OR(VLOOKUP(D44,選手登録!$A$7:$I$56,9,TRUE)="",VLOOKUP(E44,馬匹登録!$A$8:$D$54,4,TRUE)="")),$S$1,""),"")</f>
        <v/>
      </c>
      <c r="T44" s="99" t="str">
        <f t="shared" si="14"/>
        <v/>
      </c>
      <c r="U44" s="99">
        <f t="shared" si="15"/>
        <v>0</v>
      </c>
      <c r="V44" s="99" t="str">
        <f>IFERROR(VLOOKUP(C44,競技一覧!$T$5:$AA$50,8,TRUE),"")</f>
        <v/>
      </c>
      <c r="X44" s="99">
        <f t="shared" si="16"/>
        <v>39</v>
      </c>
      <c r="Y44" s="99" t="str">
        <f t="shared" si="17"/>
        <v/>
      </c>
      <c r="Z44" s="99" t="str">
        <f t="shared" si="18"/>
        <v/>
      </c>
      <c r="AA44" s="99" t="str">
        <f t="shared" si="19"/>
        <v/>
      </c>
      <c r="AB44" s="99" t="str">
        <f>IF(J44&lt;&gt;"",VLOOKUP(J44,リスト!$H$2:$I$5,2,FALSE),"")</f>
        <v/>
      </c>
      <c r="AC44" s="99" t="str">
        <f t="shared" si="12"/>
        <v/>
      </c>
      <c r="AD44" s="99" t="str">
        <f t="shared" si="11"/>
        <v/>
      </c>
    </row>
    <row r="45" spans="1:30" ht="23.25" customHeight="1" x14ac:dyDescent="0.4">
      <c r="A45" s="256">
        <v>40</v>
      </c>
      <c r="B45" s="258" t="str">
        <f>IF(F45&lt;&gt;"",VLOOKUP(F45,競技一覧!$P$5:$T$50,4,FALSE),"")</f>
        <v/>
      </c>
      <c r="C45" s="138" t="str">
        <f>IF(F45&lt;&gt;"",VLOOKUP(F45,競技一覧!$P$5:$T$50,5,FALSE),"")</f>
        <v/>
      </c>
      <c r="D45" s="138" t="str">
        <f>IF(G45&lt;&gt;"",VLOOKUP(G45,選手登録!$L$7:$O$56,4,FALSE),"")</f>
        <v/>
      </c>
      <c r="E45" s="138" t="str">
        <f>IF(H45&lt;&gt;"",VLOOKUP(H45,馬匹登録!$B$8:$G$54,6,FALSE),"")</f>
        <v/>
      </c>
      <c r="F45" s="254"/>
      <c r="G45" s="147"/>
      <c r="H45" s="147"/>
      <c r="I45" s="81" t="str">
        <f>IF(D45&lt;&gt;"",IF(VLOOKUP(D45,選手登録!$A$7:$H$56,8,FALSE)&lt;&gt;"",VLOOKUP(D45,選手登録!$A$7:$H$56,8,FALSE),団体登録!$B$6),"")</f>
        <v/>
      </c>
      <c r="J45" s="151"/>
      <c r="K45" s="28" t="str">
        <f>IF(AND(C45&lt;&gt;"",J45&lt;&gt;""),VLOOKUP(C45,競技一覧!$T$5:$Z$50,3+VLOOKUP(J45,リスト!$H$2:$I$5,2,FALSE),FALSE),"")</f>
        <v/>
      </c>
      <c r="L45" s="148"/>
      <c r="M45" s="264" t="str">
        <f t="shared" si="7"/>
        <v/>
      </c>
      <c r="N45" t="s">
        <v>205</v>
      </c>
      <c r="O45" s="99" t="str">
        <f t="shared" si="13"/>
        <v/>
      </c>
      <c r="P45" s="99" t="str">
        <f t="shared" si="8"/>
        <v/>
      </c>
      <c r="Q45" s="99" t="str">
        <f>IF(J45="社馬連",IF(IFERROR(VLOOKUP(I45,リスト!$E$10:$G$50,2,FALSE),2)&lt;&gt;0,$Q$1,""),"")</f>
        <v/>
      </c>
      <c r="R45" s="99" t="str">
        <f t="shared" si="9"/>
        <v/>
      </c>
      <c r="S45" s="99" t="str">
        <f>IF(F45&lt;&gt;"",IF(AND(VLOOKUP(C45,競技一覧!$T$5:$U$50,2,TRUE)="Y",OR(VLOOKUP(D45,選手登録!$A$7:$I$56,9,TRUE)="",VLOOKUP(E45,馬匹登録!$A$8:$D$54,4,TRUE)="")),$S$1,""),"")</f>
        <v/>
      </c>
      <c r="T45" s="99" t="str">
        <f t="shared" si="14"/>
        <v/>
      </c>
      <c r="U45" s="99">
        <f t="shared" si="15"/>
        <v>0</v>
      </c>
      <c r="V45" s="99" t="str">
        <f>IFERROR(VLOOKUP(C45,競技一覧!$T$5:$AA$50,8,TRUE),"")</f>
        <v/>
      </c>
      <c r="X45" s="99">
        <f t="shared" si="16"/>
        <v>40</v>
      </c>
      <c r="Y45" s="99" t="str">
        <f t="shared" si="17"/>
        <v/>
      </c>
      <c r="Z45" s="99" t="str">
        <f t="shared" si="18"/>
        <v/>
      </c>
      <c r="AA45" s="99" t="str">
        <f t="shared" si="19"/>
        <v/>
      </c>
      <c r="AB45" s="99" t="str">
        <f>IF(J45&lt;&gt;"",VLOOKUP(J45,リスト!$H$2:$I$5,2,FALSE),"")</f>
        <v/>
      </c>
      <c r="AC45" s="99" t="str">
        <f t="shared" si="12"/>
        <v/>
      </c>
      <c r="AD45" s="99" t="str">
        <f t="shared" si="11"/>
        <v/>
      </c>
    </row>
    <row r="46" spans="1:30" ht="23.25" customHeight="1" x14ac:dyDescent="0.4">
      <c r="A46" s="256">
        <v>41</v>
      </c>
      <c r="B46" s="258" t="str">
        <f>IF(F46&lt;&gt;"",VLOOKUP(F46,競技一覧!$P$5:$T$50,4,FALSE),"")</f>
        <v/>
      </c>
      <c r="C46" s="138" t="str">
        <f>IF(F46&lt;&gt;"",VLOOKUP(F46,競技一覧!$P$5:$T$50,5,FALSE),"")</f>
        <v/>
      </c>
      <c r="D46" s="138" t="str">
        <f>IF(G46&lt;&gt;"",VLOOKUP(G46,選手登録!$L$7:$O$56,4,FALSE),"")</f>
        <v/>
      </c>
      <c r="E46" s="138" t="str">
        <f>IF(H46&lt;&gt;"",VLOOKUP(H46,馬匹登録!$B$8:$G$54,6,FALSE),"")</f>
        <v/>
      </c>
      <c r="F46" s="254"/>
      <c r="G46" s="147"/>
      <c r="H46" s="147"/>
      <c r="I46" s="81" t="str">
        <f>IF(D46&lt;&gt;"",IF(VLOOKUP(D46,選手登録!$A$7:$H$56,8,FALSE)&lt;&gt;"",VLOOKUP(D46,選手登録!$A$7:$H$56,8,FALSE),団体登録!$B$6),"")</f>
        <v/>
      </c>
      <c r="J46" s="151"/>
      <c r="K46" s="28" t="str">
        <f>IF(AND(C46&lt;&gt;"",J46&lt;&gt;""),VLOOKUP(C46,競技一覧!$T$5:$Z$50,3+VLOOKUP(J46,リスト!$H$2:$I$5,2,FALSE),FALSE),"")</f>
        <v/>
      </c>
      <c r="L46" s="148"/>
      <c r="M46" s="264" t="str">
        <f t="shared" si="7"/>
        <v/>
      </c>
      <c r="N46" t="s">
        <v>205</v>
      </c>
      <c r="O46" s="99" t="str">
        <f t="shared" si="13"/>
        <v/>
      </c>
      <c r="P46" s="99" t="str">
        <f t="shared" si="8"/>
        <v/>
      </c>
      <c r="Q46" s="99" t="str">
        <f>IF(J46="社馬連",IF(IFERROR(VLOOKUP(I46,リスト!$E$10:$G$50,2,FALSE),2)&lt;&gt;0,$Q$1,""),"")</f>
        <v/>
      </c>
      <c r="R46" s="99" t="str">
        <f t="shared" si="9"/>
        <v/>
      </c>
      <c r="S46" s="99" t="str">
        <f>IF(F46&lt;&gt;"",IF(AND(VLOOKUP(C46,競技一覧!$T$5:$U$50,2,TRUE)="Y",OR(VLOOKUP(D46,選手登録!$A$7:$I$56,9,TRUE)="",VLOOKUP(E46,馬匹登録!$A$8:$D$54,4,TRUE)="")),$S$1,""),"")</f>
        <v/>
      </c>
      <c r="T46" s="99" t="str">
        <f t="shared" si="14"/>
        <v/>
      </c>
      <c r="U46" s="99">
        <f t="shared" si="15"/>
        <v>0</v>
      </c>
      <c r="V46" s="99" t="str">
        <f>IFERROR(VLOOKUP(C46,競技一覧!$T$5:$AA$50,8,TRUE),"")</f>
        <v/>
      </c>
      <c r="X46" s="99">
        <f t="shared" si="16"/>
        <v>41</v>
      </c>
      <c r="Y46" s="99" t="str">
        <f t="shared" si="17"/>
        <v/>
      </c>
      <c r="Z46" s="99" t="str">
        <f t="shared" si="18"/>
        <v/>
      </c>
      <c r="AA46" s="99" t="str">
        <f t="shared" si="19"/>
        <v/>
      </c>
      <c r="AB46" s="99" t="str">
        <f>IF(J46&lt;&gt;"",VLOOKUP(J46,リスト!$H$2:$I$5,2,FALSE),"")</f>
        <v/>
      </c>
      <c r="AC46" s="99" t="str">
        <f t="shared" si="12"/>
        <v/>
      </c>
      <c r="AD46" s="99" t="str">
        <f t="shared" si="11"/>
        <v/>
      </c>
    </row>
    <row r="47" spans="1:30" ht="23.25" customHeight="1" x14ac:dyDescent="0.4">
      <c r="A47" s="256">
        <v>42</v>
      </c>
      <c r="B47" s="258" t="str">
        <f>IF(F47&lt;&gt;"",VLOOKUP(F47,競技一覧!$P$5:$T$50,4,FALSE),"")</f>
        <v/>
      </c>
      <c r="C47" s="138" t="str">
        <f>IF(F47&lt;&gt;"",VLOOKUP(F47,競技一覧!$P$5:$T$50,5,FALSE),"")</f>
        <v/>
      </c>
      <c r="D47" s="138" t="str">
        <f>IF(G47&lt;&gt;"",VLOOKUP(G47,選手登録!$L$7:$O$56,4,FALSE),"")</f>
        <v/>
      </c>
      <c r="E47" s="138" t="str">
        <f>IF(H47&lt;&gt;"",VLOOKUP(H47,馬匹登録!$B$8:$G$54,6,FALSE),"")</f>
        <v/>
      </c>
      <c r="F47" s="254"/>
      <c r="G47" s="147"/>
      <c r="H47" s="147"/>
      <c r="I47" s="81" t="str">
        <f>IF(D47&lt;&gt;"",IF(VLOOKUP(D47,選手登録!$A$7:$H$56,8,FALSE)&lt;&gt;"",VLOOKUP(D47,選手登録!$A$7:$H$56,8,FALSE),団体登録!$B$6),"")</f>
        <v/>
      </c>
      <c r="J47" s="151"/>
      <c r="K47" s="28" t="str">
        <f>IF(AND(C47&lt;&gt;"",J47&lt;&gt;""),VLOOKUP(C47,競技一覧!$T$5:$Z$50,3+VLOOKUP(J47,リスト!$H$2:$I$5,2,FALSE),FALSE),"")</f>
        <v/>
      </c>
      <c r="L47" s="148"/>
      <c r="M47" s="264" t="str">
        <f t="shared" si="7"/>
        <v/>
      </c>
      <c r="N47" t="s">
        <v>205</v>
      </c>
      <c r="O47" s="99" t="str">
        <f t="shared" si="13"/>
        <v/>
      </c>
      <c r="P47" s="99" t="str">
        <f t="shared" si="8"/>
        <v/>
      </c>
      <c r="Q47" s="99" t="str">
        <f>IF(J47="社馬連",IF(IFERROR(VLOOKUP(I47,リスト!$E$10:$G$50,2,FALSE),2)&lt;&gt;0,$Q$1,""),"")</f>
        <v/>
      </c>
      <c r="R47" s="99" t="str">
        <f t="shared" si="9"/>
        <v/>
      </c>
      <c r="S47" s="99" t="str">
        <f>IF(F47&lt;&gt;"",IF(AND(VLOOKUP(C47,競技一覧!$T$5:$U$50,2,TRUE)="Y",OR(VLOOKUP(D47,選手登録!$A$7:$I$56,9,TRUE)="",VLOOKUP(E47,馬匹登録!$A$8:$D$54,4,TRUE)="")),$S$1,""),"")</f>
        <v/>
      </c>
      <c r="T47" s="99" t="str">
        <f t="shared" si="14"/>
        <v/>
      </c>
      <c r="U47" s="99">
        <f t="shared" si="15"/>
        <v>0</v>
      </c>
      <c r="V47" s="99" t="str">
        <f>IFERROR(VLOOKUP(C47,競技一覧!$T$5:$AA$50,8,TRUE),"")</f>
        <v/>
      </c>
      <c r="X47" s="99">
        <f t="shared" si="16"/>
        <v>42</v>
      </c>
      <c r="Y47" s="99" t="str">
        <f t="shared" si="17"/>
        <v/>
      </c>
      <c r="Z47" s="99" t="str">
        <f t="shared" si="18"/>
        <v/>
      </c>
      <c r="AA47" s="99" t="str">
        <f t="shared" si="19"/>
        <v/>
      </c>
      <c r="AB47" s="99" t="str">
        <f>IF(J47&lt;&gt;"",VLOOKUP(J47,リスト!$H$2:$I$5,2,FALSE),"")</f>
        <v/>
      </c>
      <c r="AC47" s="99" t="str">
        <f t="shared" si="12"/>
        <v/>
      </c>
      <c r="AD47" s="99" t="str">
        <f t="shared" si="11"/>
        <v/>
      </c>
    </row>
    <row r="48" spans="1:30" ht="23.25" customHeight="1" x14ac:dyDescent="0.4">
      <c r="A48" s="256">
        <v>43</v>
      </c>
      <c r="B48" s="258" t="str">
        <f>IF(F48&lt;&gt;"",VLOOKUP(F48,競技一覧!$P$5:$T$50,4,FALSE),"")</f>
        <v/>
      </c>
      <c r="C48" s="138" t="str">
        <f>IF(F48&lt;&gt;"",VLOOKUP(F48,競技一覧!$P$5:$T$50,5,FALSE),"")</f>
        <v/>
      </c>
      <c r="D48" s="138" t="str">
        <f>IF(G48&lt;&gt;"",VLOOKUP(G48,選手登録!$L$7:$O$56,4,FALSE),"")</f>
        <v/>
      </c>
      <c r="E48" s="138" t="str">
        <f>IF(H48&lt;&gt;"",VLOOKUP(H48,馬匹登録!$B$8:$G$54,6,FALSE),"")</f>
        <v/>
      </c>
      <c r="F48" s="254"/>
      <c r="G48" s="147"/>
      <c r="H48" s="147"/>
      <c r="I48" s="81" t="str">
        <f>IF(D48&lt;&gt;"",IF(VLOOKUP(D48,選手登録!$A$7:$H$56,8,FALSE)&lt;&gt;"",VLOOKUP(D48,選手登録!$A$7:$H$56,8,FALSE),団体登録!$B$6),"")</f>
        <v/>
      </c>
      <c r="J48" s="151"/>
      <c r="K48" s="28" t="str">
        <f>IF(AND(C48&lt;&gt;"",J48&lt;&gt;""),VLOOKUP(C48,競技一覧!$T$5:$Z$50,3+VLOOKUP(J48,リスト!$H$2:$I$5,2,FALSE),FALSE),"")</f>
        <v/>
      </c>
      <c r="L48" s="148"/>
      <c r="M48" s="264" t="str">
        <f t="shared" si="7"/>
        <v/>
      </c>
      <c r="N48" t="s">
        <v>205</v>
      </c>
      <c r="O48" s="99" t="str">
        <f t="shared" si="13"/>
        <v/>
      </c>
      <c r="P48" s="99" t="str">
        <f t="shared" si="8"/>
        <v/>
      </c>
      <c r="Q48" s="99" t="str">
        <f>IF(J48="社馬連",IF(IFERROR(VLOOKUP(I48,リスト!$E$10:$G$50,2,FALSE),2)&lt;&gt;0,$Q$1,""),"")</f>
        <v/>
      </c>
      <c r="R48" s="99" t="str">
        <f t="shared" si="9"/>
        <v/>
      </c>
      <c r="S48" s="99" t="str">
        <f>IF(F48&lt;&gt;"",IF(AND(VLOOKUP(C48,競技一覧!$T$5:$U$50,2,TRUE)="Y",OR(VLOOKUP(D48,選手登録!$A$7:$I$56,9,TRUE)="",VLOOKUP(E48,馬匹登録!$A$8:$D$54,4,TRUE)="")),$S$1,""),"")</f>
        <v/>
      </c>
      <c r="T48" s="99" t="str">
        <f t="shared" si="14"/>
        <v/>
      </c>
      <c r="U48" s="99">
        <f t="shared" si="15"/>
        <v>0</v>
      </c>
      <c r="V48" s="99" t="str">
        <f>IFERROR(VLOOKUP(C48,競技一覧!$T$5:$AA$50,8,TRUE),"")</f>
        <v/>
      </c>
      <c r="X48" s="99">
        <f t="shared" si="16"/>
        <v>43</v>
      </c>
      <c r="Y48" s="99" t="str">
        <f t="shared" si="17"/>
        <v/>
      </c>
      <c r="Z48" s="99" t="str">
        <f t="shared" si="18"/>
        <v/>
      </c>
      <c r="AA48" s="99" t="str">
        <f t="shared" si="19"/>
        <v/>
      </c>
      <c r="AB48" s="99" t="str">
        <f>IF(J48&lt;&gt;"",VLOOKUP(J48,リスト!$H$2:$I$5,2,FALSE),"")</f>
        <v/>
      </c>
      <c r="AC48" s="99" t="str">
        <f t="shared" si="12"/>
        <v/>
      </c>
      <c r="AD48" s="99" t="str">
        <f t="shared" si="11"/>
        <v/>
      </c>
    </row>
    <row r="49" spans="1:30" ht="23.25" customHeight="1" x14ac:dyDescent="0.4">
      <c r="A49" s="256">
        <v>44</v>
      </c>
      <c r="B49" s="258" t="str">
        <f>IF(F49&lt;&gt;"",VLOOKUP(F49,競技一覧!$P$5:$T$50,4,FALSE),"")</f>
        <v/>
      </c>
      <c r="C49" s="138" t="str">
        <f>IF(F49&lt;&gt;"",VLOOKUP(F49,競技一覧!$P$5:$T$50,5,FALSE),"")</f>
        <v/>
      </c>
      <c r="D49" s="138" t="str">
        <f>IF(G49&lt;&gt;"",VLOOKUP(G49,選手登録!$L$7:$O$56,4,FALSE),"")</f>
        <v/>
      </c>
      <c r="E49" s="138" t="str">
        <f>IF(H49&lt;&gt;"",VLOOKUP(H49,馬匹登録!$B$8:$G$54,6,FALSE),"")</f>
        <v/>
      </c>
      <c r="F49" s="254"/>
      <c r="G49" s="147"/>
      <c r="H49" s="147"/>
      <c r="I49" s="81" t="str">
        <f>IF(D49&lt;&gt;"",IF(VLOOKUP(D49,選手登録!$A$7:$H$56,8,FALSE)&lt;&gt;"",VLOOKUP(D49,選手登録!$A$7:$H$56,8,FALSE),団体登録!$B$6),"")</f>
        <v/>
      </c>
      <c r="J49" s="151"/>
      <c r="K49" s="28" t="str">
        <f>IF(AND(C49&lt;&gt;"",J49&lt;&gt;""),VLOOKUP(C49,競技一覧!$T$5:$Z$50,3+VLOOKUP(J49,リスト!$H$2:$I$5,2,FALSE),FALSE),"")</f>
        <v/>
      </c>
      <c r="L49" s="148"/>
      <c r="M49" s="264" t="str">
        <f t="shared" si="7"/>
        <v/>
      </c>
      <c r="N49" t="s">
        <v>205</v>
      </c>
      <c r="O49" s="99" t="str">
        <f t="shared" si="13"/>
        <v/>
      </c>
      <c r="P49" s="99" t="str">
        <f t="shared" si="8"/>
        <v/>
      </c>
      <c r="Q49" s="99" t="str">
        <f>IF(J49="社馬連",IF(IFERROR(VLOOKUP(I49,リスト!$E$10:$G$50,2,FALSE),2)&lt;&gt;0,$Q$1,""),"")</f>
        <v/>
      </c>
      <c r="R49" s="99" t="str">
        <f t="shared" si="9"/>
        <v/>
      </c>
      <c r="S49" s="99" t="str">
        <f>IF(F49&lt;&gt;"",IF(AND(VLOOKUP(C49,競技一覧!$T$5:$U$50,2,TRUE)="Y",OR(VLOOKUP(D49,選手登録!$A$7:$I$56,9,TRUE)="",VLOOKUP(E49,馬匹登録!$A$8:$D$54,4,TRUE)="")),$S$1,""),"")</f>
        <v/>
      </c>
      <c r="T49" s="99" t="str">
        <f t="shared" si="14"/>
        <v/>
      </c>
      <c r="U49" s="99">
        <f t="shared" si="15"/>
        <v>0</v>
      </c>
      <c r="V49" s="99" t="str">
        <f>IFERROR(VLOOKUP(C49,競技一覧!$T$5:$AA$50,8,TRUE),"")</f>
        <v/>
      </c>
      <c r="X49" s="99">
        <f t="shared" si="16"/>
        <v>44</v>
      </c>
      <c r="Y49" s="99" t="str">
        <f t="shared" si="17"/>
        <v/>
      </c>
      <c r="Z49" s="99" t="str">
        <f t="shared" si="18"/>
        <v/>
      </c>
      <c r="AA49" s="99" t="str">
        <f t="shared" si="19"/>
        <v/>
      </c>
      <c r="AB49" s="99" t="str">
        <f>IF(J49&lt;&gt;"",VLOOKUP(J49,リスト!$H$2:$I$5,2,FALSE),"")</f>
        <v/>
      </c>
      <c r="AC49" s="99" t="str">
        <f t="shared" si="12"/>
        <v/>
      </c>
      <c r="AD49" s="99" t="str">
        <f t="shared" si="11"/>
        <v/>
      </c>
    </row>
    <row r="50" spans="1:30" ht="23.25" customHeight="1" x14ac:dyDescent="0.4">
      <c r="A50" s="256">
        <v>45</v>
      </c>
      <c r="B50" s="258" t="str">
        <f>IF(F50&lt;&gt;"",VLOOKUP(F50,競技一覧!$P$5:$T$50,4,FALSE),"")</f>
        <v/>
      </c>
      <c r="C50" s="138" t="str">
        <f>IF(F50&lt;&gt;"",VLOOKUP(F50,競技一覧!$P$5:$T$50,5,FALSE),"")</f>
        <v/>
      </c>
      <c r="D50" s="138" t="str">
        <f>IF(G50&lt;&gt;"",VLOOKUP(G50,選手登録!$L$7:$O$56,4,FALSE),"")</f>
        <v/>
      </c>
      <c r="E50" s="138" t="str">
        <f>IF(H50&lt;&gt;"",VLOOKUP(H50,馬匹登録!$B$8:$G$54,6,FALSE),"")</f>
        <v/>
      </c>
      <c r="F50" s="254"/>
      <c r="G50" s="147"/>
      <c r="H50" s="147"/>
      <c r="I50" s="81" t="str">
        <f>IF(D50&lt;&gt;"",IF(VLOOKUP(D50,選手登録!$A$7:$H$56,8,FALSE)&lt;&gt;"",VLOOKUP(D50,選手登録!$A$7:$H$56,8,FALSE),団体登録!$B$6),"")</f>
        <v/>
      </c>
      <c r="J50" s="151"/>
      <c r="K50" s="28" t="str">
        <f>IF(AND(C50&lt;&gt;"",J50&lt;&gt;""),VLOOKUP(C50,競技一覧!$T$5:$Z$50,3+VLOOKUP(J50,リスト!$H$2:$I$5,2,FALSE),FALSE),"")</f>
        <v/>
      </c>
      <c r="L50" s="148"/>
      <c r="M50" s="264" t="str">
        <f t="shared" si="7"/>
        <v/>
      </c>
      <c r="N50" t="s">
        <v>205</v>
      </c>
      <c r="O50" s="99" t="str">
        <f t="shared" si="13"/>
        <v/>
      </c>
      <c r="P50" s="99" t="str">
        <f t="shared" si="8"/>
        <v/>
      </c>
      <c r="Q50" s="99" t="str">
        <f>IF(J50="社馬連",IF(IFERROR(VLOOKUP(I50,リスト!$E$10:$G$50,2,FALSE),2)&lt;&gt;0,$Q$1,""),"")</f>
        <v/>
      </c>
      <c r="R50" s="99" t="str">
        <f t="shared" si="9"/>
        <v/>
      </c>
      <c r="S50" s="99" t="str">
        <f>IF(F50&lt;&gt;"",IF(AND(VLOOKUP(C50,競技一覧!$T$5:$U$50,2,TRUE)="Y",OR(VLOOKUP(D50,選手登録!$A$7:$I$56,9,TRUE)="",VLOOKUP(E50,馬匹登録!$A$8:$D$54,4,TRUE)="")),$S$1,""),"")</f>
        <v/>
      </c>
      <c r="T50" s="99" t="str">
        <f t="shared" si="14"/>
        <v/>
      </c>
      <c r="U50" s="99">
        <f t="shared" si="15"/>
        <v>0</v>
      </c>
      <c r="V50" s="99" t="str">
        <f>IFERROR(VLOOKUP(C50,競技一覧!$T$5:$AA$50,8,TRUE),"")</f>
        <v/>
      </c>
      <c r="X50" s="99">
        <f t="shared" si="16"/>
        <v>45</v>
      </c>
      <c r="Y50" s="99" t="str">
        <f t="shared" si="17"/>
        <v/>
      </c>
      <c r="Z50" s="99" t="str">
        <f t="shared" si="18"/>
        <v/>
      </c>
      <c r="AA50" s="99" t="str">
        <f t="shared" si="19"/>
        <v/>
      </c>
      <c r="AB50" s="99" t="str">
        <f>IF(J50&lt;&gt;"",VLOOKUP(J50,リスト!$H$2:$I$5,2,FALSE),"")</f>
        <v/>
      </c>
      <c r="AC50" s="99" t="str">
        <f t="shared" si="12"/>
        <v/>
      </c>
      <c r="AD50" s="99" t="str">
        <f t="shared" si="11"/>
        <v/>
      </c>
    </row>
    <row r="51" spans="1:30" ht="23.25" customHeight="1" x14ac:dyDescent="0.4">
      <c r="A51" s="256">
        <v>46</v>
      </c>
      <c r="B51" s="258" t="str">
        <f>IF(F51&lt;&gt;"",VLOOKUP(F51,競技一覧!$P$5:$T$50,4,FALSE),"")</f>
        <v/>
      </c>
      <c r="C51" s="138" t="str">
        <f>IF(F51&lt;&gt;"",VLOOKUP(F51,競技一覧!$P$5:$T$50,5,FALSE),"")</f>
        <v/>
      </c>
      <c r="D51" s="138" t="str">
        <f>IF(G51&lt;&gt;"",VLOOKUP(G51,選手登録!$L$7:$O$56,4,FALSE),"")</f>
        <v/>
      </c>
      <c r="E51" s="138" t="str">
        <f>IF(H51&lt;&gt;"",VLOOKUP(H51,馬匹登録!$B$8:$G$54,6,FALSE),"")</f>
        <v/>
      </c>
      <c r="F51" s="254"/>
      <c r="G51" s="147"/>
      <c r="H51" s="147"/>
      <c r="I51" s="81" t="str">
        <f>IF(D51&lt;&gt;"",IF(VLOOKUP(D51,選手登録!$A$7:$H$56,8,FALSE)&lt;&gt;"",VLOOKUP(D51,選手登録!$A$7:$H$56,8,FALSE),団体登録!$B$6),"")</f>
        <v/>
      </c>
      <c r="J51" s="151"/>
      <c r="K51" s="28" t="str">
        <f>IF(AND(C51&lt;&gt;"",J51&lt;&gt;""),VLOOKUP(C51,競技一覧!$T$5:$Z$50,3+VLOOKUP(J51,リスト!$H$2:$I$5,2,FALSE),FALSE),"")</f>
        <v/>
      </c>
      <c r="L51" s="148"/>
      <c r="M51" s="264" t="str">
        <f t="shared" si="7"/>
        <v/>
      </c>
      <c r="N51" t="s">
        <v>205</v>
      </c>
      <c r="O51" s="99" t="str">
        <f t="shared" si="13"/>
        <v/>
      </c>
      <c r="P51" s="99" t="str">
        <f t="shared" si="8"/>
        <v/>
      </c>
      <c r="Q51" s="99" t="str">
        <f>IF(J51="社馬連",IF(IFERROR(VLOOKUP(I51,リスト!$E$10:$G$50,2,FALSE),2)&lt;&gt;0,$Q$1,""),"")</f>
        <v/>
      </c>
      <c r="R51" s="99" t="str">
        <f t="shared" si="9"/>
        <v/>
      </c>
      <c r="S51" s="99" t="str">
        <f>IF(F51&lt;&gt;"",IF(AND(VLOOKUP(C51,競技一覧!$T$5:$U$50,2,TRUE)="Y",OR(VLOOKUP(D51,選手登録!$A$7:$I$56,9,TRUE)="",VLOOKUP(E51,馬匹登録!$A$8:$D$54,4,TRUE)="")),$S$1,""),"")</f>
        <v/>
      </c>
      <c r="T51" s="99" t="str">
        <f t="shared" si="14"/>
        <v/>
      </c>
      <c r="U51" s="99">
        <f t="shared" si="15"/>
        <v>0</v>
      </c>
      <c r="V51" s="99" t="str">
        <f>IFERROR(VLOOKUP(C51,競技一覧!$T$5:$AA$50,8,TRUE),"")</f>
        <v/>
      </c>
      <c r="X51" s="99">
        <f t="shared" si="16"/>
        <v>46</v>
      </c>
      <c r="Y51" s="99" t="str">
        <f t="shared" si="17"/>
        <v/>
      </c>
      <c r="Z51" s="99" t="str">
        <f t="shared" si="18"/>
        <v/>
      </c>
      <c r="AA51" s="99" t="str">
        <f t="shared" si="19"/>
        <v/>
      </c>
      <c r="AB51" s="99" t="str">
        <f>IF(J51&lt;&gt;"",VLOOKUP(J51,リスト!$H$2:$I$5,2,FALSE),"")</f>
        <v/>
      </c>
      <c r="AC51" s="99" t="str">
        <f t="shared" si="12"/>
        <v/>
      </c>
      <c r="AD51" s="99" t="str">
        <f t="shared" si="11"/>
        <v/>
      </c>
    </row>
    <row r="52" spans="1:30" ht="23.25" customHeight="1" x14ac:dyDescent="0.4">
      <c r="A52" s="256">
        <v>47</v>
      </c>
      <c r="B52" s="258" t="str">
        <f>IF(F52&lt;&gt;"",VLOOKUP(F52,競技一覧!$P$5:$T$50,4,FALSE),"")</f>
        <v/>
      </c>
      <c r="C52" s="138" t="str">
        <f>IF(F52&lt;&gt;"",VLOOKUP(F52,競技一覧!$P$5:$T$50,5,FALSE),"")</f>
        <v/>
      </c>
      <c r="D52" s="138" t="str">
        <f>IF(G52&lt;&gt;"",VLOOKUP(G52,選手登録!$L$7:$O$56,4,FALSE),"")</f>
        <v/>
      </c>
      <c r="E52" s="138" t="str">
        <f>IF(H52&lt;&gt;"",VLOOKUP(H52,馬匹登録!$B$8:$G$54,6,FALSE),"")</f>
        <v/>
      </c>
      <c r="F52" s="254"/>
      <c r="G52" s="147"/>
      <c r="H52" s="147"/>
      <c r="I52" s="81" t="str">
        <f>IF(D52&lt;&gt;"",IF(VLOOKUP(D52,選手登録!$A$7:$H$56,8,FALSE)&lt;&gt;"",VLOOKUP(D52,選手登録!$A$7:$H$56,8,FALSE),団体登録!$B$6),"")</f>
        <v/>
      </c>
      <c r="J52" s="151"/>
      <c r="K52" s="28" t="str">
        <f>IF(AND(C52&lt;&gt;"",J52&lt;&gt;""),VLOOKUP(C52,競技一覧!$T$5:$Z$50,3+VLOOKUP(J52,リスト!$H$2:$I$5,2,FALSE),FALSE),"")</f>
        <v/>
      </c>
      <c r="L52" s="148"/>
      <c r="M52" s="264" t="str">
        <f t="shared" si="7"/>
        <v/>
      </c>
      <c r="N52" t="s">
        <v>205</v>
      </c>
      <c r="O52" s="99" t="str">
        <f t="shared" si="13"/>
        <v/>
      </c>
      <c r="P52" s="99" t="str">
        <f t="shared" si="8"/>
        <v/>
      </c>
      <c r="Q52" s="99" t="str">
        <f>IF(J52="社馬連",IF(IFERROR(VLOOKUP(I52,リスト!$E$10:$G$50,2,FALSE),2)&lt;&gt;0,$Q$1,""),"")</f>
        <v/>
      </c>
      <c r="R52" s="99" t="str">
        <f t="shared" si="9"/>
        <v/>
      </c>
      <c r="S52" s="99" t="str">
        <f>IF(F52&lt;&gt;"",IF(AND(VLOOKUP(C52,競技一覧!$T$5:$U$50,2,TRUE)="Y",OR(VLOOKUP(D52,選手登録!$A$7:$I$56,9,TRUE)="",VLOOKUP(E52,馬匹登録!$A$8:$D$54,4,TRUE)="")),$S$1,""),"")</f>
        <v/>
      </c>
      <c r="T52" s="99" t="str">
        <f t="shared" si="14"/>
        <v/>
      </c>
      <c r="U52" s="99">
        <f t="shared" si="15"/>
        <v>0</v>
      </c>
      <c r="V52" s="99" t="str">
        <f>IFERROR(VLOOKUP(C52,競技一覧!$T$5:$AA$50,8,TRUE),"")</f>
        <v/>
      </c>
      <c r="X52" s="99">
        <f t="shared" si="16"/>
        <v>47</v>
      </c>
      <c r="Y52" s="99" t="str">
        <f t="shared" si="17"/>
        <v/>
      </c>
      <c r="Z52" s="99" t="str">
        <f t="shared" si="18"/>
        <v/>
      </c>
      <c r="AA52" s="99" t="str">
        <f t="shared" si="19"/>
        <v/>
      </c>
      <c r="AB52" s="99" t="str">
        <f>IF(J52&lt;&gt;"",VLOOKUP(J52,リスト!$H$2:$I$5,2,FALSE),"")</f>
        <v/>
      </c>
      <c r="AC52" s="99" t="str">
        <f t="shared" si="12"/>
        <v/>
      </c>
      <c r="AD52" s="99" t="str">
        <f t="shared" si="11"/>
        <v/>
      </c>
    </row>
    <row r="53" spans="1:30" ht="23.25" customHeight="1" x14ac:dyDescent="0.4">
      <c r="A53" s="256">
        <v>48</v>
      </c>
      <c r="B53" s="258" t="str">
        <f>IF(F53&lt;&gt;"",VLOOKUP(F53,競技一覧!$P$5:$T$50,4,FALSE),"")</f>
        <v/>
      </c>
      <c r="C53" s="138" t="str">
        <f>IF(F53&lt;&gt;"",VLOOKUP(F53,競技一覧!$P$5:$T$50,5,FALSE),"")</f>
        <v/>
      </c>
      <c r="D53" s="138" t="str">
        <f>IF(G53&lt;&gt;"",VLOOKUP(G53,選手登録!$L$7:$O$56,4,FALSE),"")</f>
        <v/>
      </c>
      <c r="E53" s="138" t="str">
        <f>IF(H53&lt;&gt;"",VLOOKUP(H53,馬匹登録!$B$8:$G$54,6,FALSE),"")</f>
        <v/>
      </c>
      <c r="F53" s="254"/>
      <c r="G53" s="147"/>
      <c r="H53" s="147"/>
      <c r="I53" s="81" t="str">
        <f>IF(D53&lt;&gt;"",IF(VLOOKUP(D53,選手登録!$A$7:$H$56,8,FALSE)&lt;&gt;"",VLOOKUP(D53,選手登録!$A$7:$H$56,8,FALSE),団体登録!$B$6),"")</f>
        <v/>
      </c>
      <c r="J53" s="151"/>
      <c r="K53" s="28" t="str">
        <f>IF(AND(C53&lt;&gt;"",J53&lt;&gt;""),VLOOKUP(C53,競技一覧!$T$5:$Z$50,3+VLOOKUP(J53,リスト!$H$2:$I$5,2,FALSE),FALSE),"")</f>
        <v/>
      </c>
      <c r="L53" s="148"/>
      <c r="M53" s="264" t="str">
        <f t="shared" si="7"/>
        <v/>
      </c>
      <c r="N53" t="s">
        <v>205</v>
      </c>
      <c r="O53" s="99" t="str">
        <f t="shared" si="13"/>
        <v/>
      </c>
      <c r="P53" s="99" t="str">
        <f t="shared" si="8"/>
        <v/>
      </c>
      <c r="Q53" s="99" t="str">
        <f>IF(J53="社馬連",IF(IFERROR(VLOOKUP(I53,リスト!$E$10:$G$50,2,FALSE),2)&lt;&gt;0,$Q$1,""),"")</f>
        <v/>
      </c>
      <c r="R53" s="99" t="str">
        <f t="shared" si="9"/>
        <v/>
      </c>
      <c r="S53" s="99" t="str">
        <f>IF(F53&lt;&gt;"",IF(AND(VLOOKUP(C53,競技一覧!$T$5:$U$50,2,TRUE)="Y",OR(VLOOKUP(D53,選手登録!$A$7:$I$56,9,TRUE)="",VLOOKUP(E53,馬匹登録!$A$8:$D$54,4,TRUE)="")),$S$1,""),"")</f>
        <v/>
      </c>
      <c r="T53" s="99" t="str">
        <f t="shared" si="14"/>
        <v/>
      </c>
      <c r="U53" s="99">
        <f t="shared" si="15"/>
        <v>0</v>
      </c>
      <c r="V53" s="99" t="str">
        <f>IFERROR(VLOOKUP(C53,競技一覧!$T$5:$AA$50,8,TRUE),"")</f>
        <v/>
      </c>
      <c r="X53" s="99">
        <f t="shared" si="16"/>
        <v>48</v>
      </c>
      <c r="Y53" s="99" t="str">
        <f t="shared" si="17"/>
        <v/>
      </c>
      <c r="Z53" s="99" t="str">
        <f t="shared" si="18"/>
        <v/>
      </c>
      <c r="AA53" s="99" t="str">
        <f t="shared" si="19"/>
        <v/>
      </c>
      <c r="AB53" s="99" t="str">
        <f>IF(J53&lt;&gt;"",VLOOKUP(J53,リスト!$H$2:$I$5,2,FALSE),"")</f>
        <v/>
      </c>
      <c r="AC53" s="99" t="str">
        <f t="shared" si="12"/>
        <v/>
      </c>
      <c r="AD53" s="99" t="str">
        <f t="shared" si="11"/>
        <v/>
      </c>
    </row>
    <row r="54" spans="1:30" ht="23.25" customHeight="1" x14ac:dyDescent="0.4">
      <c r="A54" s="256">
        <v>49</v>
      </c>
      <c r="B54" s="258" t="str">
        <f>IF(F54&lt;&gt;"",VLOOKUP(F54,競技一覧!$P$5:$T$50,4,FALSE),"")</f>
        <v/>
      </c>
      <c r="C54" s="138" t="str">
        <f>IF(F54&lt;&gt;"",VLOOKUP(F54,競技一覧!$P$5:$T$50,5,FALSE),"")</f>
        <v/>
      </c>
      <c r="D54" s="138" t="str">
        <f>IF(G54&lt;&gt;"",VLOOKUP(G54,選手登録!$L$7:$O$56,4,FALSE),"")</f>
        <v/>
      </c>
      <c r="E54" s="138" t="str">
        <f>IF(H54&lt;&gt;"",VLOOKUP(H54,馬匹登録!$B$8:$G$54,6,FALSE),"")</f>
        <v/>
      </c>
      <c r="F54" s="254"/>
      <c r="G54" s="147"/>
      <c r="H54" s="147"/>
      <c r="I54" s="81" t="str">
        <f>IF(D54&lt;&gt;"",IF(VLOOKUP(D54,選手登録!$A$7:$H$56,8,FALSE)&lt;&gt;"",VLOOKUP(D54,選手登録!$A$7:$H$56,8,FALSE),団体登録!$B$6),"")</f>
        <v/>
      </c>
      <c r="J54" s="151"/>
      <c r="K54" s="28" t="str">
        <f>IF(AND(C54&lt;&gt;"",J54&lt;&gt;""),VLOOKUP(C54,競技一覧!$T$5:$Z$50,3+VLOOKUP(J54,リスト!$H$2:$I$5,2,FALSE),FALSE),"")</f>
        <v/>
      </c>
      <c r="L54" s="148"/>
      <c r="M54" s="264" t="str">
        <f t="shared" si="7"/>
        <v/>
      </c>
      <c r="N54" t="s">
        <v>205</v>
      </c>
      <c r="O54" s="99" t="str">
        <f t="shared" si="13"/>
        <v/>
      </c>
      <c r="P54" s="99" t="str">
        <f t="shared" si="8"/>
        <v/>
      </c>
      <c r="Q54" s="99" t="str">
        <f>IF(J54="社馬連",IF(IFERROR(VLOOKUP(I54,リスト!$E$10:$G$50,2,FALSE),2)&lt;&gt;0,$Q$1,""),"")</f>
        <v/>
      </c>
      <c r="R54" s="99" t="str">
        <f t="shared" si="9"/>
        <v/>
      </c>
      <c r="S54" s="99" t="str">
        <f>IF(F54&lt;&gt;"",IF(AND(VLOOKUP(C54,競技一覧!$T$5:$U$50,2,TRUE)="Y",OR(VLOOKUP(D54,選手登録!$A$7:$I$56,9,TRUE)="",VLOOKUP(E54,馬匹登録!$A$8:$D$54,4,TRUE)="")),$S$1,""),"")</f>
        <v/>
      </c>
      <c r="T54" s="99" t="str">
        <f t="shared" si="14"/>
        <v/>
      </c>
      <c r="U54" s="99">
        <f t="shared" si="15"/>
        <v>0</v>
      </c>
      <c r="V54" s="99" t="str">
        <f>IFERROR(VLOOKUP(C54,競技一覧!$T$5:$AA$50,8,TRUE),"")</f>
        <v/>
      </c>
      <c r="X54" s="99">
        <f t="shared" si="16"/>
        <v>49</v>
      </c>
      <c r="Y54" s="99" t="str">
        <f t="shared" si="17"/>
        <v/>
      </c>
      <c r="Z54" s="99" t="str">
        <f t="shared" si="18"/>
        <v/>
      </c>
      <c r="AA54" s="99" t="str">
        <f t="shared" si="19"/>
        <v/>
      </c>
      <c r="AB54" s="99" t="str">
        <f>IF(J54&lt;&gt;"",VLOOKUP(J54,リスト!$H$2:$I$5,2,FALSE),"")</f>
        <v/>
      </c>
      <c r="AC54" s="99" t="str">
        <f t="shared" si="12"/>
        <v/>
      </c>
      <c r="AD54" s="99" t="str">
        <f t="shared" si="11"/>
        <v/>
      </c>
    </row>
    <row r="55" spans="1:30" ht="23.25" customHeight="1" x14ac:dyDescent="0.4">
      <c r="A55" s="256">
        <v>50</v>
      </c>
      <c r="B55" s="258" t="str">
        <f>IF(F55&lt;&gt;"",VLOOKUP(F55,競技一覧!$P$5:$T$50,4,FALSE),"")</f>
        <v/>
      </c>
      <c r="C55" s="138" t="str">
        <f>IF(F55&lt;&gt;"",VLOOKUP(F55,競技一覧!$P$5:$T$50,5,FALSE),"")</f>
        <v/>
      </c>
      <c r="D55" s="138" t="str">
        <f>IF(G55&lt;&gt;"",VLOOKUP(G55,選手登録!$L$7:$O$56,4,FALSE),"")</f>
        <v/>
      </c>
      <c r="E55" s="138" t="str">
        <f>IF(H55&lt;&gt;"",VLOOKUP(H55,馬匹登録!$B$8:$G$54,6,FALSE),"")</f>
        <v/>
      </c>
      <c r="F55" s="254"/>
      <c r="G55" s="147"/>
      <c r="H55" s="147"/>
      <c r="I55" s="81" t="str">
        <f>IF(D55&lt;&gt;"",IF(VLOOKUP(D55,選手登録!$A$7:$H$56,8,FALSE)&lt;&gt;"",VLOOKUP(D55,選手登録!$A$7:$H$56,8,FALSE),団体登録!$B$6),"")</f>
        <v/>
      </c>
      <c r="J55" s="151"/>
      <c r="K55" s="28" t="str">
        <f>IF(AND(C55&lt;&gt;"",J55&lt;&gt;""),VLOOKUP(C55,競技一覧!$T$5:$Z$50,3+VLOOKUP(J55,リスト!$H$2:$I$5,2,FALSE),FALSE),"")</f>
        <v/>
      </c>
      <c r="L55" s="148"/>
      <c r="M55" s="264" t="str">
        <f t="shared" si="7"/>
        <v/>
      </c>
      <c r="N55" t="s">
        <v>205</v>
      </c>
      <c r="O55" s="99" t="str">
        <f t="shared" si="13"/>
        <v/>
      </c>
      <c r="P55" s="99" t="str">
        <f t="shared" si="8"/>
        <v/>
      </c>
      <c r="Q55" s="99" t="str">
        <f>IF(J55="社馬連",IF(IFERROR(VLOOKUP(I55,リスト!$E$10:$G$50,2,FALSE),2)&lt;&gt;0,$Q$1,""),"")</f>
        <v/>
      </c>
      <c r="R55" s="99" t="str">
        <f t="shared" si="9"/>
        <v/>
      </c>
      <c r="S55" s="99" t="str">
        <f>IF(F55&lt;&gt;"",IF(AND(VLOOKUP(C55,競技一覧!$T$5:$U$50,2,TRUE)="Y",OR(VLOOKUP(D55,選手登録!$A$7:$I$56,9,TRUE)="",VLOOKUP(E55,馬匹登録!$A$8:$D$54,4,TRUE)="")),$S$1,""),"")</f>
        <v/>
      </c>
      <c r="T55" s="99" t="str">
        <f t="shared" si="14"/>
        <v/>
      </c>
      <c r="U55" s="99">
        <f t="shared" si="15"/>
        <v>0</v>
      </c>
      <c r="V55" s="99" t="str">
        <f>IFERROR(VLOOKUP(C55,競技一覧!$T$5:$AA$50,8,TRUE),"")</f>
        <v/>
      </c>
      <c r="X55" s="99">
        <f t="shared" si="16"/>
        <v>50</v>
      </c>
      <c r="Y55" s="99" t="str">
        <f t="shared" si="17"/>
        <v/>
      </c>
      <c r="Z55" s="99" t="str">
        <f t="shared" si="18"/>
        <v/>
      </c>
      <c r="AA55" s="99" t="str">
        <f t="shared" si="19"/>
        <v/>
      </c>
      <c r="AB55" s="99" t="str">
        <f>IF(J55&lt;&gt;"",VLOOKUP(J55,リスト!$H$2:$I$5,2,FALSE),"")</f>
        <v/>
      </c>
      <c r="AC55" s="99" t="str">
        <f t="shared" si="12"/>
        <v/>
      </c>
      <c r="AD55" s="99" t="str">
        <f t="shared" si="11"/>
        <v/>
      </c>
    </row>
    <row r="56" spans="1:30" ht="23.25" customHeight="1" x14ac:dyDescent="0.4">
      <c r="A56" s="256">
        <v>51</v>
      </c>
      <c r="B56" s="258" t="str">
        <f>IF(F56&lt;&gt;"",VLOOKUP(F56,競技一覧!$P$5:$T$50,4,FALSE),"")</f>
        <v/>
      </c>
      <c r="C56" s="138" t="str">
        <f>IF(F56&lt;&gt;"",VLOOKUP(F56,競技一覧!$P$5:$T$50,5,FALSE),"")</f>
        <v/>
      </c>
      <c r="D56" s="138" t="str">
        <f>IF(G56&lt;&gt;"",VLOOKUP(G56,選手登録!$L$7:$O$56,4,FALSE),"")</f>
        <v/>
      </c>
      <c r="E56" s="138" t="str">
        <f>IF(H56&lt;&gt;"",VLOOKUP(H56,馬匹登録!$B$8:$G$54,6,FALSE),"")</f>
        <v/>
      </c>
      <c r="F56" s="254"/>
      <c r="G56" s="147"/>
      <c r="H56" s="147"/>
      <c r="I56" s="81" t="str">
        <f>IF(D56&lt;&gt;"",IF(VLOOKUP(D56,選手登録!$A$7:$H$56,8,FALSE)&lt;&gt;"",VLOOKUP(D56,選手登録!$A$7:$H$56,8,FALSE),団体登録!$B$6),"")</f>
        <v/>
      </c>
      <c r="J56" s="151"/>
      <c r="K56" s="28" t="str">
        <f>IF(AND(C56&lt;&gt;"",J56&lt;&gt;""),VLOOKUP(C56,競技一覧!$T$5:$Z$50,3+VLOOKUP(J56,リスト!$H$2:$I$5,2,FALSE),FALSE),"")</f>
        <v/>
      </c>
      <c r="L56" s="148"/>
      <c r="M56" s="264" t="str">
        <f t="shared" si="7"/>
        <v/>
      </c>
      <c r="N56" t="s">
        <v>205</v>
      </c>
      <c r="O56" s="99" t="str">
        <f t="shared" si="13"/>
        <v/>
      </c>
      <c r="P56" s="99" t="str">
        <f t="shared" si="8"/>
        <v/>
      </c>
      <c r="Q56" s="99" t="str">
        <f>IF(J56="社馬連",IF(IFERROR(VLOOKUP(I56,リスト!$E$10:$G$50,2,FALSE),2)&lt;&gt;0,$Q$1,""),"")</f>
        <v/>
      </c>
      <c r="R56" s="99" t="str">
        <f t="shared" si="9"/>
        <v/>
      </c>
      <c r="S56" s="99" t="str">
        <f>IF(F56&lt;&gt;"",IF(AND(VLOOKUP(C56,競技一覧!$T$5:$U$50,2,TRUE)="Y",OR(VLOOKUP(D56,選手登録!$A$7:$I$56,9,TRUE)="",VLOOKUP(E56,馬匹登録!$A$8:$D$54,4,TRUE)="")),$S$1,""),"")</f>
        <v/>
      </c>
      <c r="T56" s="99" t="str">
        <f t="shared" si="14"/>
        <v/>
      </c>
      <c r="U56" s="99">
        <f t="shared" si="15"/>
        <v>0</v>
      </c>
      <c r="V56" s="99" t="str">
        <f>IFERROR(VLOOKUP(C56,競技一覧!$T$5:$AA$50,8,TRUE),"")</f>
        <v/>
      </c>
      <c r="X56" s="99">
        <f t="shared" si="16"/>
        <v>51</v>
      </c>
      <c r="Y56" s="99" t="str">
        <f t="shared" si="17"/>
        <v/>
      </c>
      <c r="Z56" s="99" t="str">
        <f t="shared" si="18"/>
        <v/>
      </c>
      <c r="AA56" s="99" t="str">
        <f t="shared" si="19"/>
        <v/>
      </c>
      <c r="AB56" s="99" t="str">
        <f>IF(J56&lt;&gt;"",VLOOKUP(J56,リスト!$H$2:$I$5,2,FALSE),"")</f>
        <v/>
      </c>
      <c r="AC56" s="99" t="str">
        <f t="shared" si="12"/>
        <v/>
      </c>
      <c r="AD56" s="99" t="str">
        <f t="shared" si="11"/>
        <v/>
      </c>
    </row>
    <row r="57" spans="1:30" ht="23.25" customHeight="1" x14ac:dyDescent="0.4">
      <c r="A57" s="256">
        <v>52</v>
      </c>
      <c r="B57" s="258" t="str">
        <f>IF(F57&lt;&gt;"",VLOOKUP(F57,競技一覧!$P$5:$T$50,4,FALSE),"")</f>
        <v/>
      </c>
      <c r="C57" s="138" t="str">
        <f>IF(F57&lt;&gt;"",VLOOKUP(F57,競技一覧!$P$5:$T$50,5,FALSE),"")</f>
        <v/>
      </c>
      <c r="D57" s="138" t="str">
        <f>IF(G57&lt;&gt;"",VLOOKUP(G57,選手登録!$L$7:$O$56,4,FALSE),"")</f>
        <v/>
      </c>
      <c r="E57" s="138" t="str">
        <f>IF(H57&lt;&gt;"",VLOOKUP(H57,馬匹登録!$B$8:$G$54,6,FALSE),"")</f>
        <v/>
      </c>
      <c r="F57" s="254"/>
      <c r="G57" s="147"/>
      <c r="H57" s="147"/>
      <c r="I57" s="81" t="str">
        <f>IF(D57&lt;&gt;"",IF(VLOOKUP(D57,選手登録!$A$7:$H$56,8,FALSE)&lt;&gt;"",VLOOKUP(D57,選手登録!$A$7:$H$56,8,FALSE),団体登録!$B$6),"")</f>
        <v/>
      </c>
      <c r="J57" s="151"/>
      <c r="K57" s="28" t="str">
        <f>IF(AND(C57&lt;&gt;"",J57&lt;&gt;""),VLOOKUP(C57,競技一覧!$T$5:$Z$50,3+VLOOKUP(J57,リスト!$H$2:$I$5,2,FALSE),FALSE),"")</f>
        <v/>
      </c>
      <c r="L57" s="148"/>
      <c r="M57" s="264" t="str">
        <f t="shared" si="7"/>
        <v/>
      </c>
      <c r="N57" t="s">
        <v>205</v>
      </c>
      <c r="O57" s="99" t="str">
        <f t="shared" si="13"/>
        <v/>
      </c>
      <c r="P57" s="99" t="str">
        <f t="shared" si="8"/>
        <v/>
      </c>
      <c r="Q57" s="99" t="str">
        <f>IF(J57="社馬連",IF(IFERROR(VLOOKUP(I57,リスト!$E$10:$G$50,2,FALSE),2)&lt;&gt;0,$Q$1,""),"")</f>
        <v/>
      </c>
      <c r="R57" s="99" t="str">
        <f t="shared" si="9"/>
        <v/>
      </c>
      <c r="S57" s="99" t="str">
        <f>IF(F57&lt;&gt;"",IF(AND(VLOOKUP(C57,競技一覧!$T$5:$U$50,2,TRUE)="Y",OR(VLOOKUP(D57,選手登録!$A$7:$I$56,9,TRUE)="",VLOOKUP(E57,馬匹登録!$A$8:$D$54,4,TRUE)="")),$S$1,""),"")</f>
        <v/>
      </c>
      <c r="T57" s="99" t="str">
        <f t="shared" si="14"/>
        <v/>
      </c>
      <c r="U57" s="99">
        <f t="shared" si="15"/>
        <v>0</v>
      </c>
      <c r="V57" s="99" t="str">
        <f>IFERROR(VLOOKUP(C57,競技一覧!$T$5:$AA$50,8,TRUE),"")</f>
        <v/>
      </c>
      <c r="X57" s="99">
        <f t="shared" si="16"/>
        <v>52</v>
      </c>
      <c r="Y57" s="99" t="str">
        <f t="shared" si="17"/>
        <v/>
      </c>
      <c r="Z57" s="99" t="str">
        <f t="shared" si="18"/>
        <v/>
      </c>
      <c r="AA57" s="99" t="str">
        <f t="shared" si="19"/>
        <v/>
      </c>
      <c r="AB57" s="99" t="str">
        <f>IF(J57&lt;&gt;"",VLOOKUP(J57,リスト!$H$2:$I$5,2,FALSE),"")</f>
        <v/>
      </c>
      <c r="AC57" s="99" t="str">
        <f t="shared" si="12"/>
        <v/>
      </c>
      <c r="AD57" s="99" t="str">
        <f t="shared" si="11"/>
        <v/>
      </c>
    </row>
    <row r="58" spans="1:30" ht="23.25" customHeight="1" x14ac:dyDescent="0.4">
      <c r="A58" s="256">
        <v>53</v>
      </c>
      <c r="B58" s="258" t="str">
        <f>IF(F58&lt;&gt;"",VLOOKUP(F58,競技一覧!$P$5:$T$50,4,FALSE),"")</f>
        <v/>
      </c>
      <c r="C58" s="138" t="str">
        <f>IF(F58&lt;&gt;"",VLOOKUP(F58,競技一覧!$P$5:$T$50,5,FALSE),"")</f>
        <v/>
      </c>
      <c r="D58" s="138" t="str">
        <f>IF(G58&lt;&gt;"",VLOOKUP(G58,選手登録!$L$7:$O$56,4,FALSE),"")</f>
        <v/>
      </c>
      <c r="E58" s="138" t="str">
        <f>IF(H58&lt;&gt;"",VLOOKUP(H58,馬匹登録!$B$8:$G$54,6,FALSE),"")</f>
        <v/>
      </c>
      <c r="F58" s="254"/>
      <c r="G58" s="147"/>
      <c r="H58" s="147"/>
      <c r="I58" s="81" t="str">
        <f>IF(D58&lt;&gt;"",IF(VLOOKUP(D58,選手登録!$A$7:$H$56,8,FALSE)&lt;&gt;"",VLOOKUP(D58,選手登録!$A$7:$H$56,8,FALSE),団体登録!$B$6),"")</f>
        <v/>
      </c>
      <c r="J58" s="151"/>
      <c r="K58" s="28" t="str">
        <f>IF(AND(C58&lt;&gt;"",J58&lt;&gt;""),VLOOKUP(C58,競技一覧!$T$5:$Z$50,3+VLOOKUP(J58,リスト!$H$2:$I$5,2,FALSE),FALSE),"")</f>
        <v/>
      </c>
      <c r="L58" s="148"/>
      <c r="M58" s="264" t="str">
        <f t="shared" si="7"/>
        <v/>
      </c>
      <c r="N58" t="s">
        <v>205</v>
      </c>
      <c r="O58" s="99" t="str">
        <f t="shared" si="13"/>
        <v/>
      </c>
      <c r="P58" s="99" t="str">
        <f t="shared" si="8"/>
        <v/>
      </c>
      <c r="Q58" s="99" t="str">
        <f>IF(J58="社馬連",IF(IFERROR(VLOOKUP(I58,リスト!$E$10:$G$50,2,FALSE),2)&lt;&gt;0,$Q$1,""),"")</f>
        <v/>
      </c>
      <c r="R58" s="99" t="str">
        <f t="shared" si="9"/>
        <v/>
      </c>
      <c r="S58" s="99" t="str">
        <f>IF(F58&lt;&gt;"",IF(AND(VLOOKUP(C58,競技一覧!$T$5:$U$50,2,TRUE)="Y",OR(VLOOKUP(D58,選手登録!$A$7:$I$56,9,TRUE)="",VLOOKUP(E58,馬匹登録!$A$8:$D$54,4,TRUE)="")),$S$1,""),"")</f>
        <v/>
      </c>
      <c r="T58" s="99" t="str">
        <f t="shared" si="14"/>
        <v/>
      </c>
      <c r="U58" s="99">
        <f t="shared" si="15"/>
        <v>0</v>
      </c>
      <c r="V58" s="99" t="str">
        <f>IFERROR(VLOOKUP(C58,競技一覧!$T$5:$AA$50,8,TRUE),"")</f>
        <v/>
      </c>
      <c r="X58" s="99">
        <f t="shared" si="16"/>
        <v>53</v>
      </c>
      <c r="Y58" s="99" t="str">
        <f t="shared" si="17"/>
        <v/>
      </c>
      <c r="Z58" s="99" t="str">
        <f t="shared" si="18"/>
        <v/>
      </c>
      <c r="AA58" s="99" t="str">
        <f t="shared" si="19"/>
        <v/>
      </c>
      <c r="AB58" s="99" t="str">
        <f>IF(J58&lt;&gt;"",VLOOKUP(J58,リスト!$H$2:$I$5,2,FALSE),"")</f>
        <v/>
      </c>
      <c r="AC58" s="99" t="str">
        <f t="shared" si="12"/>
        <v/>
      </c>
      <c r="AD58" s="99" t="str">
        <f t="shared" si="11"/>
        <v/>
      </c>
    </row>
    <row r="59" spans="1:30" ht="23.25" customHeight="1" x14ac:dyDescent="0.4">
      <c r="A59" s="256">
        <v>54</v>
      </c>
      <c r="B59" s="258" t="str">
        <f>IF(F59&lt;&gt;"",VLOOKUP(F59,競技一覧!$P$5:$T$50,4,FALSE),"")</f>
        <v/>
      </c>
      <c r="C59" s="138" t="str">
        <f>IF(F59&lt;&gt;"",VLOOKUP(F59,競技一覧!$P$5:$T$50,5,FALSE),"")</f>
        <v/>
      </c>
      <c r="D59" s="138" t="str">
        <f>IF(G59&lt;&gt;"",VLOOKUP(G59,選手登録!$L$7:$O$56,4,FALSE),"")</f>
        <v/>
      </c>
      <c r="E59" s="138" t="str">
        <f>IF(H59&lt;&gt;"",VLOOKUP(H59,馬匹登録!$B$8:$G$54,6,FALSE),"")</f>
        <v/>
      </c>
      <c r="F59" s="254"/>
      <c r="G59" s="147"/>
      <c r="H59" s="147"/>
      <c r="I59" s="81" t="str">
        <f>IF(D59&lt;&gt;"",IF(VLOOKUP(D59,選手登録!$A$7:$H$56,8,FALSE)&lt;&gt;"",VLOOKUP(D59,選手登録!$A$7:$H$56,8,FALSE),団体登録!$B$6),"")</f>
        <v/>
      </c>
      <c r="J59" s="151"/>
      <c r="K59" s="28" t="str">
        <f>IF(AND(C59&lt;&gt;"",J59&lt;&gt;""),VLOOKUP(C59,競技一覧!$T$5:$Z$50,3+VLOOKUP(J59,リスト!$H$2:$I$5,2,FALSE),FALSE),"")</f>
        <v/>
      </c>
      <c r="L59" s="148"/>
      <c r="M59" s="264" t="str">
        <f t="shared" si="7"/>
        <v/>
      </c>
      <c r="N59" t="s">
        <v>205</v>
      </c>
      <c r="O59" s="99" t="str">
        <f t="shared" si="13"/>
        <v/>
      </c>
      <c r="P59" s="99" t="str">
        <f t="shared" si="8"/>
        <v/>
      </c>
      <c r="Q59" s="99" t="str">
        <f>IF(J59="社馬連",IF(IFERROR(VLOOKUP(I59,リスト!$E$10:$G$50,2,FALSE),2)&lt;&gt;0,$Q$1,""),"")</f>
        <v/>
      </c>
      <c r="R59" s="99" t="str">
        <f t="shared" si="9"/>
        <v/>
      </c>
      <c r="S59" s="99" t="str">
        <f>IF(F59&lt;&gt;"",IF(AND(VLOOKUP(C59,競技一覧!$T$5:$U$50,2,TRUE)="Y",OR(VLOOKUP(D59,選手登録!$A$7:$I$56,9,TRUE)="",VLOOKUP(E59,馬匹登録!$A$8:$D$54,4,TRUE)="")),$S$1,""),"")</f>
        <v/>
      </c>
      <c r="T59" s="99" t="str">
        <f t="shared" si="14"/>
        <v/>
      </c>
      <c r="U59" s="99">
        <f t="shared" si="15"/>
        <v>0</v>
      </c>
      <c r="V59" s="99" t="str">
        <f>IFERROR(VLOOKUP(C59,競技一覧!$T$5:$AA$50,8,TRUE),"")</f>
        <v/>
      </c>
      <c r="X59" s="99">
        <f t="shared" si="16"/>
        <v>54</v>
      </c>
      <c r="Y59" s="99" t="str">
        <f t="shared" si="17"/>
        <v/>
      </c>
      <c r="Z59" s="99" t="str">
        <f t="shared" si="18"/>
        <v/>
      </c>
      <c r="AA59" s="99" t="str">
        <f t="shared" si="19"/>
        <v/>
      </c>
      <c r="AB59" s="99" t="str">
        <f>IF(J59&lt;&gt;"",VLOOKUP(J59,リスト!$H$2:$I$5,2,FALSE),"")</f>
        <v/>
      </c>
      <c r="AC59" s="99" t="str">
        <f t="shared" si="12"/>
        <v/>
      </c>
      <c r="AD59" s="99" t="str">
        <f t="shared" si="11"/>
        <v/>
      </c>
    </row>
    <row r="60" spans="1:30" ht="23.25" customHeight="1" x14ac:dyDescent="0.4">
      <c r="A60" s="256">
        <v>55</v>
      </c>
      <c r="B60" s="258" t="str">
        <f>IF(F60&lt;&gt;"",VLOOKUP(F60,競技一覧!$P$5:$T$50,4,FALSE),"")</f>
        <v/>
      </c>
      <c r="C60" s="138" t="str">
        <f>IF(F60&lt;&gt;"",VLOOKUP(F60,競技一覧!$P$5:$T$50,5,FALSE),"")</f>
        <v/>
      </c>
      <c r="D60" s="138" t="str">
        <f>IF(G60&lt;&gt;"",VLOOKUP(G60,選手登録!$L$7:$O$56,4,FALSE),"")</f>
        <v/>
      </c>
      <c r="E60" s="138" t="str">
        <f>IF(H60&lt;&gt;"",VLOOKUP(H60,馬匹登録!$B$8:$G$54,6,FALSE),"")</f>
        <v/>
      </c>
      <c r="F60" s="254"/>
      <c r="G60" s="147"/>
      <c r="H60" s="147"/>
      <c r="I60" s="81" t="str">
        <f>IF(D60&lt;&gt;"",IF(VLOOKUP(D60,選手登録!$A$7:$H$56,8,FALSE)&lt;&gt;"",VLOOKUP(D60,選手登録!$A$7:$H$56,8,FALSE),団体登録!$B$6),"")</f>
        <v/>
      </c>
      <c r="J60" s="151"/>
      <c r="K60" s="28" t="str">
        <f>IF(AND(C60&lt;&gt;"",J60&lt;&gt;""),VLOOKUP(C60,競技一覧!$T$5:$Z$50,3+VLOOKUP(J60,リスト!$H$2:$I$5,2,FALSE),FALSE),"")</f>
        <v/>
      </c>
      <c r="L60" s="148"/>
      <c r="M60" s="264" t="str">
        <f t="shared" si="7"/>
        <v/>
      </c>
      <c r="N60" t="s">
        <v>205</v>
      </c>
      <c r="O60" s="99" t="str">
        <f t="shared" si="13"/>
        <v/>
      </c>
      <c r="P60" s="99" t="str">
        <f t="shared" si="8"/>
        <v/>
      </c>
      <c r="Q60" s="99" t="str">
        <f>IF(J60="社馬連",IF(IFERROR(VLOOKUP(I60,リスト!$E$10:$G$50,2,FALSE),2)&lt;&gt;0,$Q$1,""),"")</f>
        <v/>
      </c>
      <c r="R60" s="99" t="str">
        <f t="shared" si="9"/>
        <v/>
      </c>
      <c r="S60" s="99" t="str">
        <f>IF(F60&lt;&gt;"",IF(AND(VLOOKUP(C60,競技一覧!$T$5:$U$50,2,TRUE)="Y",OR(VLOOKUP(D60,選手登録!$A$7:$I$56,9,TRUE)="",VLOOKUP(E60,馬匹登録!$A$8:$D$54,4,TRUE)="")),$S$1,""),"")</f>
        <v/>
      </c>
      <c r="T60" s="99" t="str">
        <f t="shared" si="14"/>
        <v/>
      </c>
      <c r="U60" s="99">
        <f t="shared" si="15"/>
        <v>0</v>
      </c>
      <c r="V60" s="99" t="str">
        <f>IFERROR(VLOOKUP(C60,競技一覧!$T$5:$AA$50,8,TRUE),"")</f>
        <v/>
      </c>
      <c r="X60" s="99">
        <f t="shared" si="16"/>
        <v>55</v>
      </c>
      <c r="Y60" s="99" t="str">
        <f t="shared" si="17"/>
        <v/>
      </c>
      <c r="Z60" s="99" t="str">
        <f t="shared" si="18"/>
        <v/>
      </c>
      <c r="AA60" s="99" t="str">
        <f t="shared" si="19"/>
        <v/>
      </c>
      <c r="AB60" s="99" t="str">
        <f>IF(J60&lt;&gt;"",VLOOKUP(J60,リスト!$H$2:$I$5,2,FALSE),"")</f>
        <v/>
      </c>
      <c r="AC60" s="99" t="str">
        <f t="shared" si="12"/>
        <v/>
      </c>
      <c r="AD60" s="99" t="str">
        <f t="shared" si="11"/>
        <v/>
      </c>
    </row>
    <row r="61" spans="1:30" ht="23.25" customHeight="1" x14ac:dyDescent="0.4">
      <c r="A61" s="256">
        <v>56</v>
      </c>
      <c r="B61" s="258" t="str">
        <f>IF(F61&lt;&gt;"",VLOOKUP(F61,競技一覧!$P$5:$T$50,4,FALSE),"")</f>
        <v/>
      </c>
      <c r="C61" s="138" t="str">
        <f>IF(F61&lt;&gt;"",VLOOKUP(F61,競技一覧!$P$5:$T$50,5,FALSE),"")</f>
        <v/>
      </c>
      <c r="D61" s="138" t="str">
        <f>IF(G61&lt;&gt;"",VLOOKUP(G61,選手登録!$L$7:$O$56,4,FALSE),"")</f>
        <v/>
      </c>
      <c r="E61" s="138" t="str">
        <f>IF(H61&lt;&gt;"",VLOOKUP(H61,馬匹登録!$B$8:$G$54,6,FALSE),"")</f>
        <v/>
      </c>
      <c r="F61" s="254"/>
      <c r="G61" s="147"/>
      <c r="H61" s="147"/>
      <c r="I61" s="81" t="str">
        <f>IF(D61&lt;&gt;"",IF(VLOOKUP(D61,選手登録!$A$7:$H$56,8,FALSE)&lt;&gt;"",VLOOKUP(D61,選手登録!$A$7:$H$56,8,FALSE),団体登録!$B$6),"")</f>
        <v/>
      </c>
      <c r="J61" s="151"/>
      <c r="K61" s="28" t="str">
        <f>IF(AND(C61&lt;&gt;"",J61&lt;&gt;""),VLOOKUP(C61,競技一覧!$T$5:$Z$50,3+VLOOKUP(J61,リスト!$H$2:$I$5,2,FALSE),FALSE),"")</f>
        <v/>
      </c>
      <c r="L61" s="148"/>
      <c r="M61" s="264" t="str">
        <f t="shared" si="7"/>
        <v/>
      </c>
      <c r="N61" t="s">
        <v>205</v>
      </c>
      <c r="O61" s="99" t="str">
        <f t="shared" si="13"/>
        <v/>
      </c>
      <c r="P61" s="99" t="str">
        <f t="shared" si="8"/>
        <v/>
      </c>
      <c r="Q61" s="99" t="str">
        <f>IF(J61="社馬連",IF(IFERROR(VLOOKUP(I61,リスト!$E$10:$G$50,2,FALSE),2)&lt;&gt;0,$Q$1,""),"")</f>
        <v/>
      </c>
      <c r="R61" s="99" t="str">
        <f t="shared" si="9"/>
        <v/>
      </c>
      <c r="S61" s="99" t="str">
        <f>IF(F61&lt;&gt;"",IF(AND(VLOOKUP(C61,競技一覧!$T$5:$U$50,2,TRUE)="Y",OR(VLOOKUP(D61,選手登録!$A$7:$I$56,9,TRUE)="",VLOOKUP(E61,馬匹登録!$A$8:$D$54,4,TRUE)="")),$S$1,""),"")</f>
        <v/>
      </c>
      <c r="T61" s="99" t="str">
        <f t="shared" si="14"/>
        <v/>
      </c>
      <c r="U61" s="99">
        <f t="shared" si="15"/>
        <v>0</v>
      </c>
      <c r="V61" s="99" t="str">
        <f>IFERROR(VLOOKUP(C61,競技一覧!$T$5:$AA$50,8,TRUE),"")</f>
        <v/>
      </c>
      <c r="X61" s="99">
        <f t="shared" si="16"/>
        <v>56</v>
      </c>
      <c r="Y61" s="99" t="str">
        <f t="shared" si="17"/>
        <v/>
      </c>
      <c r="Z61" s="99" t="str">
        <f t="shared" si="18"/>
        <v/>
      </c>
      <c r="AA61" s="99" t="str">
        <f t="shared" si="19"/>
        <v/>
      </c>
      <c r="AB61" s="99" t="str">
        <f>IF(J61&lt;&gt;"",VLOOKUP(J61,リスト!$H$2:$I$5,2,FALSE),"")</f>
        <v/>
      </c>
      <c r="AC61" s="99" t="str">
        <f t="shared" si="12"/>
        <v/>
      </c>
      <c r="AD61" s="99" t="str">
        <f t="shared" si="11"/>
        <v/>
      </c>
    </row>
    <row r="62" spans="1:30" ht="23.25" customHeight="1" x14ac:dyDescent="0.4">
      <c r="A62" s="256">
        <v>57</v>
      </c>
      <c r="B62" s="258" t="str">
        <f>IF(F62&lt;&gt;"",VLOOKUP(F62,競技一覧!$P$5:$T$50,4,FALSE),"")</f>
        <v/>
      </c>
      <c r="C62" s="138" t="str">
        <f>IF(F62&lt;&gt;"",VLOOKUP(F62,競技一覧!$P$5:$T$50,5,FALSE),"")</f>
        <v/>
      </c>
      <c r="D62" s="138" t="str">
        <f>IF(G62&lt;&gt;"",VLOOKUP(G62,選手登録!$L$7:$O$56,4,FALSE),"")</f>
        <v/>
      </c>
      <c r="E62" s="138" t="str">
        <f>IF(H62&lt;&gt;"",VLOOKUP(H62,馬匹登録!$B$8:$G$54,6,FALSE),"")</f>
        <v/>
      </c>
      <c r="F62" s="254"/>
      <c r="G62" s="147"/>
      <c r="H62" s="147"/>
      <c r="I62" s="81" t="str">
        <f>IF(D62&lt;&gt;"",IF(VLOOKUP(D62,選手登録!$A$7:$H$56,8,FALSE)&lt;&gt;"",VLOOKUP(D62,選手登録!$A$7:$H$56,8,FALSE),団体登録!$B$6),"")</f>
        <v/>
      </c>
      <c r="J62" s="151"/>
      <c r="K62" s="28" t="str">
        <f>IF(AND(C62&lt;&gt;"",J62&lt;&gt;""),VLOOKUP(C62,競技一覧!$T$5:$Z$50,3+VLOOKUP(J62,リスト!$H$2:$I$5,2,FALSE),FALSE),"")</f>
        <v/>
      </c>
      <c r="L62" s="148"/>
      <c r="M62" s="264" t="str">
        <f t="shared" si="7"/>
        <v/>
      </c>
      <c r="N62" t="s">
        <v>205</v>
      </c>
      <c r="O62" s="99" t="str">
        <f t="shared" si="13"/>
        <v/>
      </c>
      <c r="P62" s="99" t="str">
        <f t="shared" si="8"/>
        <v/>
      </c>
      <c r="Q62" s="99" t="str">
        <f>IF(J62="社馬連",IF(IFERROR(VLOOKUP(I62,リスト!$E$10:$G$50,2,FALSE),2)&lt;&gt;0,$Q$1,""),"")</f>
        <v/>
      </c>
      <c r="R62" s="99" t="str">
        <f t="shared" si="9"/>
        <v/>
      </c>
      <c r="S62" s="99" t="str">
        <f>IF(F62&lt;&gt;"",IF(AND(VLOOKUP(C62,競技一覧!$T$5:$U$50,2,TRUE)="Y",OR(VLOOKUP(D62,選手登録!$A$7:$I$56,9,TRUE)="",VLOOKUP(E62,馬匹登録!$A$8:$D$54,4,TRUE)="")),$S$1,""),"")</f>
        <v/>
      </c>
      <c r="T62" s="99" t="str">
        <f t="shared" si="14"/>
        <v/>
      </c>
      <c r="U62" s="99">
        <f t="shared" si="15"/>
        <v>0</v>
      </c>
      <c r="V62" s="99" t="str">
        <f>IFERROR(VLOOKUP(C62,競技一覧!$T$5:$AA$50,8,TRUE),"")</f>
        <v/>
      </c>
      <c r="X62" s="99">
        <f t="shared" si="16"/>
        <v>57</v>
      </c>
      <c r="Y62" s="99" t="str">
        <f t="shared" si="17"/>
        <v/>
      </c>
      <c r="Z62" s="99" t="str">
        <f t="shared" si="18"/>
        <v/>
      </c>
      <c r="AA62" s="99" t="str">
        <f t="shared" si="19"/>
        <v/>
      </c>
      <c r="AB62" s="99" t="str">
        <f>IF(J62&lt;&gt;"",VLOOKUP(J62,リスト!$H$2:$I$5,2,FALSE),"")</f>
        <v/>
      </c>
      <c r="AC62" s="99" t="str">
        <f t="shared" si="12"/>
        <v/>
      </c>
      <c r="AD62" s="99" t="str">
        <f t="shared" si="11"/>
        <v/>
      </c>
    </row>
    <row r="63" spans="1:30" ht="23.25" customHeight="1" x14ac:dyDescent="0.4">
      <c r="A63" s="256">
        <v>58</v>
      </c>
      <c r="B63" s="258" t="str">
        <f>IF(F63&lt;&gt;"",VLOOKUP(F63,競技一覧!$P$5:$T$50,4,FALSE),"")</f>
        <v/>
      </c>
      <c r="C63" s="138" t="str">
        <f>IF(F63&lt;&gt;"",VLOOKUP(F63,競技一覧!$P$5:$T$50,5,FALSE),"")</f>
        <v/>
      </c>
      <c r="D63" s="138" t="str">
        <f>IF(G63&lt;&gt;"",VLOOKUP(G63,選手登録!$L$7:$O$56,4,FALSE),"")</f>
        <v/>
      </c>
      <c r="E63" s="138" t="str">
        <f>IF(H63&lt;&gt;"",VLOOKUP(H63,馬匹登録!$B$8:$G$54,6,FALSE),"")</f>
        <v/>
      </c>
      <c r="F63" s="254"/>
      <c r="G63" s="147"/>
      <c r="H63" s="147"/>
      <c r="I63" s="81" t="str">
        <f>IF(D63&lt;&gt;"",IF(VLOOKUP(D63,選手登録!$A$7:$H$56,8,FALSE)&lt;&gt;"",VLOOKUP(D63,選手登録!$A$7:$H$56,8,FALSE),団体登録!$B$6),"")</f>
        <v/>
      </c>
      <c r="J63" s="151"/>
      <c r="K63" s="28" t="str">
        <f>IF(AND(C63&lt;&gt;"",J63&lt;&gt;""),VLOOKUP(C63,競技一覧!$T$5:$Z$50,3+VLOOKUP(J63,リスト!$H$2:$I$5,2,FALSE),FALSE),"")</f>
        <v/>
      </c>
      <c r="L63" s="148"/>
      <c r="M63" s="264" t="str">
        <f t="shared" si="7"/>
        <v/>
      </c>
      <c r="N63" t="s">
        <v>205</v>
      </c>
      <c r="O63" s="99" t="str">
        <f t="shared" si="13"/>
        <v/>
      </c>
      <c r="P63" s="99" t="str">
        <f t="shared" si="8"/>
        <v/>
      </c>
      <c r="Q63" s="99" t="str">
        <f>IF(J63="社馬連",IF(IFERROR(VLOOKUP(I63,リスト!$E$10:$G$50,2,FALSE),2)&lt;&gt;0,$Q$1,""),"")</f>
        <v/>
      </c>
      <c r="R63" s="99" t="str">
        <f t="shared" si="9"/>
        <v/>
      </c>
      <c r="S63" s="99" t="str">
        <f>IF(F63&lt;&gt;"",IF(AND(VLOOKUP(C63,競技一覧!$T$5:$U$50,2,TRUE)="Y",OR(VLOOKUP(D63,選手登録!$A$7:$I$56,9,TRUE)="",VLOOKUP(E63,馬匹登録!$A$8:$D$54,4,TRUE)="")),$S$1,""),"")</f>
        <v/>
      </c>
      <c r="T63" s="99" t="str">
        <f t="shared" si="14"/>
        <v/>
      </c>
      <c r="U63" s="99">
        <f t="shared" si="15"/>
        <v>0</v>
      </c>
      <c r="V63" s="99" t="str">
        <f>IFERROR(VLOOKUP(C63,競技一覧!$T$5:$AA$50,8,TRUE),"")</f>
        <v/>
      </c>
      <c r="X63" s="99">
        <f t="shared" si="16"/>
        <v>58</v>
      </c>
      <c r="Y63" s="99" t="str">
        <f t="shared" si="17"/>
        <v/>
      </c>
      <c r="Z63" s="99" t="str">
        <f t="shared" si="18"/>
        <v/>
      </c>
      <c r="AA63" s="99" t="str">
        <f t="shared" si="19"/>
        <v/>
      </c>
      <c r="AB63" s="99" t="str">
        <f>IF(J63&lt;&gt;"",VLOOKUP(J63,リスト!$H$2:$I$5,2,FALSE),"")</f>
        <v/>
      </c>
      <c r="AC63" s="99" t="str">
        <f t="shared" si="12"/>
        <v/>
      </c>
      <c r="AD63" s="99" t="str">
        <f t="shared" si="11"/>
        <v/>
      </c>
    </row>
    <row r="64" spans="1:30" ht="23.25" customHeight="1" x14ac:dyDescent="0.4">
      <c r="A64" s="256">
        <v>59</v>
      </c>
      <c r="B64" s="258" t="str">
        <f>IF(F64&lt;&gt;"",VLOOKUP(F64,競技一覧!$P$5:$T$50,4,FALSE),"")</f>
        <v/>
      </c>
      <c r="C64" s="138" t="str">
        <f>IF(F64&lt;&gt;"",VLOOKUP(F64,競技一覧!$P$5:$T$50,5,FALSE),"")</f>
        <v/>
      </c>
      <c r="D64" s="138" t="str">
        <f>IF(G64&lt;&gt;"",VLOOKUP(G64,選手登録!$L$7:$O$56,4,FALSE),"")</f>
        <v/>
      </c>
      <c r="E64" s="138" t="str">
        <f>IF(H64&lt;&gt;"",VLOOKUP(H64,馬匹登録!$B$8:$G$54,6,FALSE),"")</f>
        <v/>
      </c>
      <c r="F64" s="254"/>
      <c r="G64" s="147"/>
      <c r="H64" s="147"/>
      <c r="I64" s="81" t="str">
        <f>IF(D64&lt;&gt;"",IF(VLOOKUP(D64,選手登録!$A$7:$H$56,8,FALSE)&lt;&gt;"",VLOOKUP(D64,選手登録!$A$7:$H$56,8,FALSE),団体登録!$B$6),"")</f>
        <v/>
      </c>
      <c r="J64" s="151"/>
      <c r="K64" s="75" t="str">
        <f>IF(AND(C64&lt;&gt;"",J64&lt;&gt;""),VLOOKUP(C64,競技一覧!$T$5:$Z$50,3+VLOOKUP(J64,リスト!$H$2:$I$5,2,FALSE),FALSE),"")</f>
        <v/>
      </c>
      <c r="L64" s="148"/>
      <c r="M64" s="264" t="str">
        <f t="shared" si="7"/>
        <v/>
      </c>
      <c r="N64" t="s">
        <v>205</v>
      </c>
      <c r="O64" s="99" t="str">
        <f t="shared" si="13"/>
        <v/>
      </c>
      <c r="P64" s="99" t="str">
        <f t="shared" si="8"/>
        <v/>
      </c>
      <c r="Q64" s="99" t="str">
        <f>IF(J64="社馬連",IF(IFERROR(VLOOKUP(I64,リスト!$E$10:$G$50,2,FALSE),2)&lt;&gt;0,$Q$1,""),"")</f>
        <v/>
      </c>
      <c r="R64" s="99" t="str">
        <f t="shared" si="9"/>
        <v/>
      </c>
      <c r="S64" s="99" t="str">
        <f>IF(F64&lt;&gt;"",IF(AND(VLOOKUP(C64,競技一覧!$T$5:$U$50,2,TRUE)="Y",OR(VLOOKUP(D64,選手登録!$A$7:$I$56,9,TRUE)="",VLOOKUP(E64,馬匹登録!$A$8:$D$54,4,TRUE)="")),$S$1,""),"")</f>
        <v/>
      </c>
      <c r="T64" s="99" t="str">
        <f t="shared" si="14"/>
        <v/>
      </c>
      <c r="U64" s="99">
        <f t="shared" si="15"/>
        <v>0</v>
      </c>
      <c r="V64" s="99" t="str">
        <f>IFERROR(VLOOKUP(C64,競技一覧!$T$5:$AA$50,8,TRUE),"")</f>
        <v/>
      </c>
      <c r="X64" s="99">
        <f t="shared" si="16"/>
        <v>59</v>
      </c>
      <c r="Y64" s="99" t="str">
        <f t="shared" si="17"/>
        <v/>
      </c>
      <c r="Z64" s="99" t="str">
        <f t="shared" si="18"/>
        <v/>
      </c>
      <c r="AA64" s="99" t="str">
        <f t="shared" si="19"/>
        <v/>
      </c>
      <c r="AB64" s="99" t="str">
        <f>IF(J64&lt;&gt;"",VLOOKUP(J64,リスト!$H$2:$I$5,2,FALSE),"")</f>
        <v/>
      </c>
      <c r="AC64" s="99" t="str">
        <f t="shared" si="12"/>
        <v/>
      </c>
      <c r="AD64" s="99" t="str">
        <f t="shared" si="11"/>
        <v/>
      </c>
    </row>
    <row r="65" spans="1:30" ht="23.25" customHeight="1" x14ac:dyDescent="0.4">
      <c r="A65" s="256">
        <v>60</v>
      </c>
      <c r="B65" s="258" t="str">
        <f>IF(F65&lt;&gt;"",VLOOKUP(F65,競技一覧!$P$5:$T$50,4,FALSE),"")</f>
        <v/>
      </c>
      <c r="C65" s="138" t="str">
        <f>IF(F65&lt;&gt;"",VLOOKUP(F65,競技一覧!$P$5:$T$50,5,FALSE),"")</f>
        <v/>
      </c>
      <c r="D65" s="138" t="str">
        <f>IF(G65&lt;&gt;"",VLOOKUP(G65,選手登録!$L$7:$O$56,4,FALSE),"")</f>
        <v/>
      </c>
      <c r="E65" s="138" t="str">
        <f>IF(H65&lt;&gt;"",VLOOKUP(H65,馬匹登録!$B$8:$G$54,6,FALSE),"")</f>
        <v/>
      </c>
      <c r="F65" s="254"/>
      <c r="G65" s="147"/>
      <c r="H65" s="147"/>
      <c r="I65" s="81" t="str">
        <f>IF(D65&lt;&gt;"",IF(VLOOKUP(D65,選手登録!$A$7:$H$56,8,FALSE)&lt;&gt;"",VLOOKUP(D65,選手登録!$A$7:$H$56,8,FALSE),団体登録!$B$6),"")</f>
        <v/>
      </c>
      <c r="J65" s="151"/>
      <c r="K65" s="75" t="str">
        <f>IF(AND(C65&lt;&gt;"",J65&lt;&gt;""),VLOOKUP(C65,競技一覧!$T$5:$Z$50,3+VLOOKUP(J65,リスト!$H$2:$I$5,2,FALSE),FALSE),"")</f>
        <v/>
      </c>
      <c r="L65" s="148"/>
      <c r="M65" s="264" t="str">
        <f t="shared" si="7"/>
        <v/>
      </c>
      <c r="N65" t="s">
        <v>205</v>
      </c>
      <c r="O65" s="99" t="str">
        <f t="shared" si="13"/>
        <v/>
      </c>
      <c r="P65" s="99" t="str">
        <f t="shared" si="8"/>
        <v/>
      </c>
      <c r="Q65" s="99" t="str">
        <f>IF(J65="社馬連",IF(IFERROR(VLOOKUP(I65,リスト!$E$10:$G$50,2,FALSE),2)&lt;&gt;0,$Q$1,""),"")</f>
        <v/>
      </c>
      <c r="R65" s="99" t="str">
        <f t="shared" si="9"/>
        <v/>
      </c>
      <c r="S65" s="99" t="str">
        <f>IF(F65&lt;&gt;"",IF(AND(VLOOKUP(C65,競技一覧!$T$5:$U$50,2,TRUE)="Y",OR(VLOOKUP(D65,選手登録!$A$7:$I$56,9,TRUE)="",VLOOKUP(E65,馬匹登録!$A$8:$D$54,4,TRUE)="")),$S$1,""),"")</f>
        <v/>
      </c>
      <c r="T65" s="99" t="str">
        <f t="shared" si="14"/>
        <v/>
      </c>
      <c r="U65" s="99">
        <f t="shared" si="15"/>
        <v>0</v>
      </c>
      <c r="V65" s="99" t="str">
        <f>IFERROR(VLOOKUP(C65,競技一覧!$T$5:$AA$50,8,TRUE),"")</f>
        <v/>
      </c>
      <c r="X65" s="99">
        <f t="shared" si="16"/>
        <v>60</v>
      </c>
      <c r="Y65" s="99" t="str">
        <f t="shared" si="17"/>
        <v/>
      </c>
      <c r="Z65" s="99" t="str">
        <f t="shared" si="18"/>
        <v/>
      </c>
      <c r="AA65" s="99" t="str">
        <f t="shared" si="19"/>
        <v/>
      </c>
      <c r="AB65" s="99" t="str">
        <f>IF(J65&lt;&gt;"",VLOOKUP(J65,リスト!$H$2:$I$5,2,FALSE),"")</f>
        <v/>
      </c>
      <c r="AC65" s="99" t="str">
        <f t="shared" si="12"/>
        <v/>
      </c>
      <c r="AD65" s="99" t="str">
        <f t="shared" si="11"/>
        <v/>
      </c>
    </row>
    <row r="66" spans="1:30" ht="23.25" customHeight="1" x14ac:dyDescent="0.4">
      <c r="A66" s="256">
        <v>61</v>
      </c>
      <c r="B66" s="258" t="str">
        <f>IF(F66&lt;&gt;"",VLOOKUP(F66,競技一覧!$P$5:$T$50,4,FALSE),"")</f>
        <v/>
      </c>
      <c r="C66" s="138" t="str">
        <f>IF(F66&lt;&gt;"",VLOOKUP(F66,競技一覧!$P$5:$T$50,5,FALSE),"")</f>
        <v/>
      </c>
      <c r="D66" s="138" t="str">
        <f>IF(G66&lt;&gt;"",VLOOKUP(G66,選手登録!$L$7:$O$56,4,FALSE),"")</f>
        <v/>
      </c>
      <c r="E66" s="138" t="str">
        <f>IF(H66&lt;&gt;"",VLOOKUP(H66,馬匹登録!$B$8:$G$54,6,FALSE),"")</f>
        <v/>
      </c>
      <c r="F66" s="254"/>
      <c r="G66" s="147"/>
      <c r="H66" s="147"/>
      <c r="I66" s="81" t="str">
        <f>IF(D66&lt;&gt;"",IF(VLOOKUP(D66,選手登録!$A$7:$H$56,8,FALSE)&lt;&gt;"",VLOOKUP(D66,選手登録!$A$7:$H$56,8,FALSE),団体登録!$B$6),"")</f>
        <v/>
      </c>
      <c r="J66" s="151"/>
      <c r="K66" s="75" t="str">
        <f>IF(AND(C66&lt;&gt;"",J66&lt;&gt;""),VLOOKUP(C66,競技一覧!$T$5:$Z$50,3+VLOOKUP(J66,リスト!$H$2:$I$5,2,FALSE),FALSE),"")</f>
        <v/>
      </c>
      <c r="L66" s="148"/>
      <c r="M66" s="264" t="str">
        <f t="shared" si="7"/>
        <v/>
      </c>
      <c r="N66" t="s">
        <v>205</v>
      </c>
      <c r="O66" s="99" t="str">
        <f t="shared" si="13"/>
        <v/>
      </c>
      <c r="P66" s="99" t="str">
        <f t="shared" si="8"/>
        <v/>
      </c>
      <c r="Q66" s="99" t="str">
        <f>IF(J66="社馬連",IF(IFERROR(VLOOKUP(I66,リスト!$E$10:$G$50,2,FALSE),2)&lt;&gt;0,$Q$1,""),"")</f>
        <v/>
      </c>
      <c r="R66" s="99" t="str">
        <f t="shared" si="9"/>
        <v/>
      </c>
      <c r="S66" s="99" t="str">
        <f>IF(F66&lt;&gt;"",IF(AND(VLOOKUP(C66,競技一覧!$T$5:$U$50,2,TRUE)="Y",OR(VLOOKUP(D66,選手登録!$A$7:$I$56,9,TRUE)="",VLOOKUP(E66,馬匹登録!$A$8:$D$54,4,TRUE)="")),$S$1,""),"")</f>
        <v/>
      </c>
      <c r="T66" s="99" t="str">
        <f t="shared" si="14"/>
        <v/>
      </c>
      <c r="U66" s="99">
        <f t="shared" si="15"/>
        <v>0</v>
      </c>
      <c r="V66" s="99" t="str">
        <f>IFERROR(VLOOKUP(C66,競技一覧!$T$5:$AA$50,8,TRUE),"")</f>
        <v/>
      </c>
      <c r="X66" s="99">
        <f t="shared" si="16"/>
        <v>61</v>
      </c>
      <c r="Y66" s="99" t="str">
        <f t="shared" si="17"/>
        <v/>
      </c>
      <c r="Z66" s="99" t="str">
        <f t="shared" si="18"/>
        <v/>
      </c>
      <c r="AA66" s="99" t="str">
        <f t="shared" si="19"/>
        <v/>
      </c>
      <c r="AB66" s="99" t="str">
        <f>IF(J66&lt;&gt;"",VLOOKUP(J66,リスト!$H$2:$I$5,2,FALSE),"")</f>
        <v/>
      </c>
      <c r="AC66" s="99" t="str">
        <f t="shared" si="12"/>
        <v/>
      </c>
      <c r="AD66" s="99" t="str">
        <f t="shared" si="11"/>
        <v/>
      </c>
    </row>
    <row r="67" spans="1:30" ht="23.25" customHeight="1" x14ac:dyDescent="0.4">
      <c r="A67" s="256">
        <v>62</v>
      </c>
      <c r="B67" s="258" t="str">
        <f>IF(F67&lt;&gt;"",VLOOKUP(F67,競技一覧!$P$5:$T$50,4,FALSE),"")</f>
        <v/>
      </c>
      <c r="C67" s="138" t="str">
        <f>IF(F67&lt;&gt;"",VLOOKUP(F67,競技一覧!$P$5:$T$50,5,FALSE),"")</f>
        <v/>
      </c>
      <c r="D67" s="138" t="str">
        <f>IF(G67&lt;&gt;"",VLOOKUP(G67,選手登録!$L$7:$O$56,4,FALSE),"")</f>
        <v/>
      </c>
      <c r="E67" s="138" t="str">
        <f>IF(H67&lt;&gt;"",VLOOKUP(H67,馬匹登録!$B$8:$G$54,6,FALSE),"")</f>
        <v/>
      </c>
      <c r="F67" s="254"/>
      <c r="G67" s="147"/>
      <c r="H67" s="147"/>
      <c r="I67" s="81" t="str">
        <f>IF(D67&lt;&gt;"",IF(VLOOKUP(D67,選手登録!$A$7:$H$56,8,FALSE)&lt;&gt;"",VLOOKUP(D67,選手登録!$A$7:$H$56,8,FALSE),団体登録!$B$6),"")</f>
        <v/>
      </c>
      <c r="J67" s="151"/>
      <c r="K67" s="75" t="str">
        <f>IF(AND(C67&lt;&gt;"",J67&lt;&gt;""),VLOOKUP(C67,競技一覧!$T$5:$Z$50,3+VLOOKUP(J67,リスト!$H$2:$I$5,2,FALSE),FALSE),"")</f>
        <v/>
      </c>
      <c r="L67" s="148"/>
      <c r="M67" s="264" t="str">
        <f t="shared" si="7"/>
        <v/>
      </c>
      <c r="N67" t="s">
        <v>205</v>
      </c>
      <c r="O67" s="99" t="str">
        <f t="shared" si="13"/>
        <v/>
      </c>
      <c r="P67" s="99" t="str">
        <f t="shared" si="8"/>
        <v/>
      </c>
      <c r="Q67" s="99" t="str">
        <f>IF(J67="社馬連",IF(IFERROR(VLOOKUP(I67,リスト!$E$10:$G$50,2,FALSE),2)&lt;&gt;0,$Q$1,""),"")</f>
        <v/>
      </c>
      <c r="R67" s="99" t="str">
        <f t="shared" si="9"/>
        <v/>
      </c>
      <c r="S67" s="99" t="str">
        <f>IF(F67&lt;&gt;"",IF(AND(VLOOKUP(C67,競技一覧!$T$5:$U$50,2,TRUE)="Y",OR(VLOOKUP(D67,選手登録!$A$7:$I$56,9,TRUE)="",VLOOKUP(E67,馬匹登録!$A$8:$D$54,4,TRUE)="")),$S$1,""),"")</f>
        <v/>
      </c>
      <c r="T67" s="99" t="str">
        <f t="shared" si="14"/>
        <v/>
      </c>
      <c r="U67" s="99">
        <f t="shared" si="15"/>
        <v>0</v>
      </c>
      <c r="V67" s="99" t="str">
        <f>IFERROR(VLOOKUP(C67,競技一覧!$T$5:$AA$50,8,TRUE),"")</f>
        <v/>
      </c>
      <c r="X67" s="99">
        <f t="shared" si="16"/>
        <v>62</v>
      </c>
      <c r="Y67" s="99" t="str">
        <f t="shared" si="17"/>
        <v/>
      </c>
      <c r="Z67" s="99" t="str">
        <f t="shared" si="18"/>
        <v/>
      </c>
      <c r="AA67" s="99" t="str">
        <f t="shared" si="19"/>
        <v/>
      </c>
      <c r="AB67" s="99" t="str">
        <f>IF(J67&lt;&gt;"",VLOOKUP(J67,リスト!$H$2:$I$5,2,FALSE),"")</f>
        <v/>
      </c>
      <c r="AC67" s="99" t="str">
        <f t="shared" si="12"/>
        <v/>
      </c>
      <c r="AD67" s="99" t="str">
        <f t="shared" si="11"/>
        <v/>
      </c>
    </row>
    <row r="68" spans="1:30" ht="23.25" customHeight="1" x14ac:dyDescent="0.4">
      <c r="A68" s="256">
        <v>63</v>
      </c>
      <c r="B68" s="258" t="str">
        <f>IF(F68&lt;&gt;"",VLOOKUP(F68,競技一覧!$P$5:$T$50,4,FALSE),"")</f>
        <v/>
      </c>
      <c r="C68" s="138" t="str">
        <f>IF(F68&lt;&gt;"",VLOOKUP(F68,競技一覧!$P$5:$T$50,5,FALSE),"")</f>
        <v/>
      </c>
      <c r="D68" s="138" t="str">
        <f>IF(G68&lt;&gt;"",VLOOKUP(G68,選手登録!$L$7:$O$56,4,FALSE),"")</f>
        <v/>
      </c>
      <c r="E68" s="138" t="str">
        <f>IF(H68&lt;&gt;"",VLOOKUP(H68,馬匹登録!$B$8:$G$54,6,FALSE),"")</f>
        <v/>
      </c>
      <c r="F68" s="254"/>
      <c r="G68" s="147"/>
      <c r="H68" s="147"/>
      <c r="I68" s="81" t="str">
        <f>IF(D68&lt;&gt;"",IF(VLOOKUP(D68,選手登録!$A$7:$H$56,8,FALSE)&lt;&gt;"",VLOOKUP(D68,選手登録!$A$7:$H$56,8,FALSE),団体登録!$B$6),"")</f>
        <v/>
      </c>
      <c r="J68" s="151"/>
      <c r="K68" s="75" t="str">
        <f>IF(AND(C68&lt;&gt;"",J68&lt;&gt;""),VLOOKUP(C68,競技一覧!$T$5:$Z$50,3+VLOOKUP(J68,リスト!$H$2:$I$5,2,FALSE),FALSE),"")</f>
        <v/>
      </c>
      <c r="L68" s="148"/>
      <c r="M68" s="264" t="str">
        <f t="shared" si="7"/>
        <v/>
      </c>
      <c r="N68" t="s">
        <v>205</v>
      </c>
      <c r="O68" s="99" t="str">
        <f t="shared" si="13"/>
        <v/>
      </c>
      <c r="P68" s="99" t="str">
        <f t="shared" si="8"/>
        <v/>
      </c>
      <c r="Q68" s="99" t="str">
        <f>IF(J68="社馬連",IF(IFERROR(VLOOKUP(I68,リスト!$E$10:$G$50,2,FALSE),2)&lt;&gt;0,$Q$1,""),"")</f>
        <v/>
      </c>
      <c r="R68" s="99" t="str">
        <f t="shared" si="9"/>
        <v/>
      </c>
      <c r="S68" s="99" t="str">
        <f>IF(F68&lt;&gt;"",IF(AND(VLOOKUP(C68,競技一覧!$T$5:$U$50,2,TRUE)="Y",OR(VLOOKUP(D68,選手登録!$A$7:$I$56,9,TRUE)="",VLOOKUP(E68,馬匹登録!$A$8:$D$54,4,TRUE)="")),$S$1,""),"")</f>
        <v/>
      </c>
      <c r="T68" s="99" t="str">
        <f t="shared" si="14"/>
        <v/>
      </c>
      <c r="U68" s="99">
        <f t="shared" si="15"/>
        <v>0</v>
      </c>
      <c r="V68" s="99" t="str">
        <f>IFERROR(VLOOKUP(C68,競技一覧!$T$5:$AA$50,8,TRUE),"")</f>
        <v/>
      </c>
      <c r="X68" s="99">
        <f t="shared" si="16"/>
        <v>63</v>
      </c>
      <c r="Y68" s="99" t="str">
        <f t="shared" si="17"/>
        <v/>
      </c>
      <c r="Z68" s="99" t="str">
        <f t="shared" si="18"/>
        <v/>
      </c>
      <c r="AA68" s="99" t="str">
        <f t="shared" si="19"/>
        <v/>
      </c>
      <c r="AB68" s="99" t="str">
        <f>IF(J68&lt;&gt;"",VLOOKUP(J68,リスト!$H$2:$I$5,2,FALSE),"")</f>
        <v/>
      </c>
      <c r="AC68" s="99" t="str">
        <f t="shared" si="12"/>
        <v/>
      </c>
      <c r="AD68" s="99" t="str">
        <f t="shared" si="11"/>
        <v/>
      </c>
    </row>
    <row r="69" spans="1:30" ht="23.25" customHeight="1" x14ac:dyDescent="0.4">
      <c r="A69" s="256">
        <v>64</v>
      </c>
      <c r="B69" s="258" t="str">
        <f>IF(F69&lt;&gt;"",VLOOKUP(F69,競技一覧!$P$5:$T$50,4,FALSE),"")</f>
        <v/>
      </c>
      <c r="C69" s="138" t="str">
        <f>IF(F69&lt;&gt;"",VLOOKUP(F69,競技一覧!$P$5:$T$50,5,FALSE),"")</f>
        <v/>
      </c>
      <c r="D69" s="138" t="str">
        <f>IF(G69&lt;&gt;"",VLOOKUP(G69,選手登録!$L$7:$O$56,4,FALSE),"")</f>
        <v/>
      </c>
      <c r="E69" s="138" t="str">
        <f>IF(H69&lt;&gt;"",VLOOKUP(H69,馬匹登録!$B$8:$G$54,6,FALSE),"")</f>
        <v/>
      </c>
      <c r="F69" s="254"/>
      <c r="G69" s="147"/>
      <c r="H69" s="147"/>
      <c r="I69" s="81" t="str">
        <f>IF(D69&lt;&gt;"",IF(VLOOKUP(D69,選手登録!$A$7:$H$56,8,FALSE)&lt;&gt;"",VLOOKUP(D69,選手登録!$A$7:$H$56,8,FALSE),団体登録!$B$6),"")</f>
        <v/>
      </c>
      <c r="J69" s="151"/>
      <c r="K69" s="75" t="str">
        <f>IF(AND(C69&lt;&gt;"",J69&lt;&gt;""),VLOOKUP(C69,競技一覧!$T$5:$Z$50,3+VLOOKUP(J69,リスト!$H$2:$I$5,2,FALSE),FALSE),"")</f>
        <v/>
      </c>
      <c r="L69" s="148"/>
      <c r="M69" s="264" t="str">
        <f t="shared" si="7"/>
        <v/>
      </c>
      <c r="N69" t="s">
        <v>205</v>
      </c>
      <c r="O69" s="99" t="str">
        <f t="shared" si="13"/>
        <v/>
      </c>
      <c r="P69" s="99" t="str">
        <f t="shared" si="8"/>
        <v/>
      </c>
      <c r="Q69" s="99" t="str">
        <f>IF(J69="社馬連",IF(IFERROR(VLOOKUP(I69,リスト!$E$10:$G$50,2,FALSE),2)&lt;&gt;0,$Q$1,""),"")</f>
        <v/>
      </c>
      <c r="R69" s="99" t="str">
        <f t="shared" si="9"/>
        <v/>
      </c>
      <c r="S69" s="99" t="str">
        <f>IF(F69&lt;&gt;"",IF(AND(VLOOKUP(C69,競技一覧!$T$5:$U$50,2,TRUE)="Y",OR(VLOOKUP(D69,選手登録!$A$7:$I$56,9,TRUE)="",VLOOKUP(E69,馬匹登録!$A$8:$D$54,4,TRUE)="")),$S$1,""),"")</f>
        <v/>
      </c>
      <c r="T69" s="99" t="str">
        <f t="shared" si="14"/>
        <v/>
      </c>
      <c r="U69" s="99">
        <f t="shared" si="15"/>
        <v>0</v>
      </c>
      <c r="V69" s="99" t="str">
        <f>IFERROR(VLOOKUP(C69,競技一覧!$T$5:$AA$50,8,TRUE),"")</f>
        <v/>
      </c>
      <c r="X69" s="99">
        <f t="shared" si="16"/>
        <v>64</v>
      </c>
      <c r="Y69" s="99" t="str">
        <f t="shared" si="17"/>
        <v/>
      </c>
      <c r="Z69" s="99" t="str">
        <f t="shared" si="18"/>
        <v/>
      </c>
      <c r="AA69" s="99" t="str">
        <f t="shared" si="19"/>
        <v/>
      </c>
      <c r="AB69" s="99" t="str">
        <f>IF(J69&lt;&gt;"",VLOOKUP(J69,リスト!$H$2:$I$5,2,FALSE),"")</f>
        <v/>
      </c>
      <c r="AC69" s="99" t="str">
        <f t="shared" si="12"/>
        <v/>
      </c>
      <c r="AD69" s="99" t="str">
        <f t="shared" si="11"/>
        <v/>
      </c>
    </row>
    <row r="70" spans="1:30" ht="23.25" customHeight="1" x14ac:dyDescent="0.4">
      <c r="A70" s="256">
        <v>65</v>
      </c>
      <c r="B70" s="258" t="str">
        <f>IF(F70&lt;&gt;"",VLOOKUP(F70,競技一覧!$P$5:$T$50,4,FALSE),"")</f>
        <v/>
      </c>
      <c r="C70" s="138" t="str">
        <f>IF(F70&lt;&gt;"",VLOOKUP(F70,競技一覧!$P$5:$T$50,5,FALSE),"")</f>
        <v/>
      </c>
      <c r="D70" s="138" t="str">
        <f>IF(G70&lt;&gt;"",VLOOKUP(G70,選手登録!$L$7:$O$56,4,FALSE),"")</f>
        <v/>
      </c>
      <c r="E70" s="138" t="str">
        <f>IF(H70&lt;&gt;"",VLOOKUP(H70,馬匹登録!$B$8:$G$54,6,FALSE),"")</f>
        <v/>
      </c>
      <c r="F70" s="254"/>
      <c r="G70" s="147"/>
      <c r="H70" s="147"/>
      <c r="I70" s="81" t="str">
        <f>IF(D70&lt;&gt;"",IF(VLOOKUP(D70,選手登録!$A$7:$H$56,8,FALSE)&lt;&gt;"",VLOOKUP(D70,選手登録!$A$7:$H$56,8,FALSE),団体登録!$B$6),"")</f>
        <v/>
      </c>
      <c r="J70" s="151"/>
      <c r="K70" s="75" t="str">
        <f>IF(AND(C70&lt;&gt;"",J70&lt;&gt;""),VLOOKUP(C70,競技一覧!$T$5:$Z$50,3+VLOOKUP(J70,リスト!$H$2:$I$5,2,FALSE),FALSE),"")</f>
        <v/>
      </c>
      <c r="L70" s="148"/>
      <c r="M70" s="264" t="str">
        <f t="shared" si="7"/>
        <v/>
      </c>
      <c r="N70" t="s">
        <v>205</v>
      </c>
      <c r="O70" s="99" t="str">
        <f t="shared" ref="O70:O85" si="20">IF(B70&lt;&gt;"",A70,"")</f>
        <v/>
      </c>
      <c r="P70" s="99" t="str">
        <f t="shared" si="8"/>
        <v/>
      </c>
      <c r="Q70" s="99" t="str">
        <f>IF(J70="社馬連",IF(IFERROR(VLOOKUP(I70,リスト!$E$10:$G$50,2,FALSE),2)&lt;&gt;0,$Q$1,""),"")</f>
        <v/>
      </c>
      <c r="R70" s="99" t="str">
        <f t="shared" si="9"/>
        <v/>
      </c>
      <c r="S70" s="99" t="str">
        <f>IF(F70&lt;&gt;"",IF(AND(VLOOKUP(C70,競技一覧!$T$5:$U$50,2,TRUE)="Y",OR(VLOOKUP(D70,選手登録!$A$7:$I$56,9,TRUE)="",VLOOKUP(E70,馬匹登録!$A$8:$D$54,4,TRUE)="")),$S$1,""),"")</f>
        <v/>
      </c>
      <c r="T70" s="99" t="str">
        <f t="shared" ref="T70:T85" si="21">IF(AND(B70&lt;&gt;"",D70&lt;&gt;"",E70&lt;&gt;""),B70&amp;"-"&amp;D70&amp;"-"&amp;E70,"")</f>
        <v/>
      </c>
      <c r="U70" s="99">
        <f t="shared" ref="U70:U81" si="22">IF(T70&lt;&gt;"",COUNTIF($T$6:$T$85,T70),0)</f>
        <v>0</v>
      </c>
      <c r="V70" s="99" t="str">
        <f>IFERROR(VLOOKUP(C70,競技一覧!$T$5:$AA$50,8,TRUE),"")</f>
        <v/>
      </c>
      <c r="X70" s="99">
        <f t="shared" ref="X70:X85" si="23">A70</f>
        <v>65</v>
      </c>
      <c r="Y70" s="99" t="str">
        <f t="shared" ref="Y70:Y85" si="24">IF(F70&lt;&gt;"",C70,"")</f>
        <v/>
      </c>
      <c r="Z70" s="99" t="str">
        <f t="shared" ref="Z70:Z85" si="25">IF(G70&lt;&gt;"",D70,"")</f>
        <v/>
      </c>
      <c r="AA70" s="99" t="str">
        <f t="shared" ref="AA70:AA85" si="26">IF(H70&lt;&gt;"",E70,"")</f>
        <v/>
      </c>
      <c r="AB70" s="99" t="str">
        <f>IF(J70&lt;&gt;"",VLOOKUP(J70,リスト!$H$2:$I$5,2,FALSE),"")</f>
        <v/>
      </c>
      <c r="AC70" s="99" t="str">
        <f t="shared" si="12"/>
        <v/>
      </c>
      <c r="AD70" s="99" t="str">
        <f t="shared" si="11"/>
        <v/>
      </c>
    </row>
    <row r="71" spans="1:30" ht="23.25" customHeight="1" x14ac:dyDescent="0.4">
      <c r="A71" s="256">
        <v>66</v>
      </c>
      <c r="B71" s="258" t="str">
        <f>IF(F71&lt;&gt;"",VLOOKUP(F71,競技一覧!$P$5:$T$50,4,FALSE),"")</f>
        <v/>
      </c>
      <c r="C71" s="138" t="str">
        <f>IF(F71&lt;&gt;"",VLOOKUP(F71,競技一覧!$P$5:$T$50,5,FALSE),"")</f>
        <v/>
      </c>
      <c r="D71" s="138" t="str">
        <f>IF(G71&lt;&gt;"",VLOOKUP(G71,選手登録!$L$7:$O$56,4,FALSE),"")</f>
        <v/>
      </c>
      <c r="E71" s="138" t="str">
        <f>IF(H71&lt;&gt;"",VLOOKUP(H71,馬匹登録!$B$8:$G$54,6,FALSE),"")</f>
        <v/>
      </c>
      <c r="F71" s="254"/>
      <c r="G71" s="147"/>
      <c r="H71" s="147"/>
      <c r="I71" s="81" t="str">
        <f>IF(D71&lt;&gt;"",IF(VLOOKUP(D71,選手登録!$A$7:$H$56,8,FALSE)&lt;&gt;"",VLOOKUP(D71,選手登録!$A$7:$H$56,8,FALSE),団体登録!$B$6),"")</f>
        <v/>
      </c>
      <c r="J71" s="151"/>
      <c r="K71" s="75" t="str">
        <f>IF(AND(C71&lt;&gt;"",J71&lt;&gt;""),VLOOKUP(C71,競技一覧!$T$5:$Z$50,3+VLOOKUP(J71,リスト!$H$2:$I$5,2,FALSE),FALSE),"")</f>
        <v/>
      </c>
      <c r="L71" s="148"/>
      <c r="M71" s="264" t="str">
        <f t="shared" ref="M71:M85" si="27">P71&amp;Q71&amp;R71&amp;S71</f>
        <v/>
      </c>
      <c r="N71" t="s">
        <v>205</v>
      </c>
      <c r="O71" s="99" t="str">
        <f t="shared" si="20"/>
        <v/>
      </c>
      <c r="P71" s="99" t="str">
        <f t="shared" ref="P71:P85" si="28">IF(K71="-",$S$2,"")</f>
        <v/>
      </c>
      <c r="Q71" s="99" t="str">
        <f>IF(J71="社馬連",IF(IFERROR(VLOOKUP(I71,リスト!$E$10:$G$50,2,FALSE),2)&lt;&gt;0,$Q$1,""),"")</f>
        <v/>
      </c>
      <c r="R71" s="99" t="str">
        <f t="shared" ref="R71:R85" si="29">IF(U71&gt;1,$Q$2,"")</f>
        <v/>
      </c>
      <c r="S71" s="99" t="str">
        <f>IF(F71&lt;&gt;"",IF(AND(VLOOKUP(C71,競技一覧!$T$5:$U$50,2,TRUE)="Y",OR(VLOOKUP(D71,選手登録!$A$7:$I$56,9,TRUE)="",VLOOKUP(E71,馬匹登録!$A$8:$D$54,4,TRUE)="")),$S$1,""),"")</f>
        <v/>
      </c>
      <c r="T71" s="99" t="str">
        <f t="shared" si="21"/>
        <v/>
      </c>
      <c r="U71" s="99">
        <f t="shared" si="22"/>
        <v>0</v>
      </c>
      <c r="V71" s="99" t="str">
        <f>IFERROR(VLOOKUP(C71,競技一覧!$T$5:$AA$50,8,TRUE),"")</f>
        <v/>
      </c>
      <c r="X71" s="99">
        <f t="shared" si="23"/>
        <v>66</v>
      </c>
      <c r="Y71" s="99" t="str">
        <f t="shared" si="24"/>
        <v/>
      </c>
      <c r="Z71" s="99" t="str">
        <f t="shared" si="25"/>
        <v/>
      </c>
      <c r="AA71" s="99" t="str">
        <f t="shared" si="26"/>
        <v/>
      </c>
      <c r="AB71" s="99" t="str">
        <f>IF(J71&lt;&gt;"",VLOOKUP(J71,リスト!$H$2:$I$5,2,FALSE),"")</f>
        <v/>
      </c>
      <c r="AC71" s="99" t="str">
        <f t="shared" si="12"/>
        <v/>
      </c>
      <c r="AD71" s="99" t="str">
        <f t="shared" ref="AD71:AD85" si="30">IF(L71&lt;&gt;"",L71,"")</f>
        <v/>
      </c>
    </row>
    <row r="72" spans="1:30" ht="23.25" customHeight="1" x14ac:dyDescent="0.4">
      <c r="A72" s="256">
        <v>67</v>
      </c>
      <c r="B72" s="258" t="str">
        <f>IF(F72&lt;&gt;"",VLOOKUP(F72,競技一覧!$P$5:$T$50,4,FALSE),"")</f>
        <v/>
      </c>
      <c r="C72" s="138" t="str">
        <f>IF(F72&lt;&gt;"",VLOOKUP(F72,競技一覧!$P$5:$T$50,5,FALSE),"")</f>
        <v/>
      </c>
      <c r="D72" s="138" t="str">
        <f>IF(G72&lt;&gt;"",VLOOKUP(G72,選手登録!$L$7:$O$56,4,FALSE),"")</f>
        <v/>
      </c>
      <c r="E72" s="138" t="str">
        <f>IF(H72&lt;&gt;"",VLOOKUP(H72,馬匹登録!$B$8:$G$54,6,FALSE),"")</f>
        <v/>
      </c>
      <c r="F72" s="254"/>
      <c r="G72" s="147"/>
      <c r="H72" s="147"/>
      <c r="I72" s="81" t="str">
        <f>IF(D72&lt;&gt;"",IF(VLOOKUP(D72,選手登録!$A$7:$H$56,8,FALSE)&lt;&gt;"",VLOOKUP(D72,選手登録!$A$7:$H$56,8,FALSE),団体登録!$B$6),"")</f>
        <v/>
      </c>
      <c r="J72" s="151"/>
      <c r="K72" s="75" t="str">
        <f>IF(AND(C72&lt;&gt;"",J72&lt;&gt;""),VLOOKUP(C72,競技一覧!$T$5:$Z$50,3+VLOOKUP(J72,リスト!$H$2:$I$5,2,FALSE),FALSE),"")</f>
        <v/>
      </c>
      <c r="L72" s="148"/>
      <c r="M72" s="264" t="str">
        <f t="shared" si="27"/>
        <v/>
      </c>
      <c r="N72" t="s">
        <v>205</v>
      </c>
      <c r="O72" s="99" t="str">
        <f t="shared" si="20"/>
        <v/>
      </c>
      <c r="P72" s="99" t="str">
        <f t="shared" si="28"/>
        <v/>
      </c>
      <c r="Q72" s="99" t="str">
        <f>IF(J72="社馬連",IF(IFERROR(VLOOKUP(I72,リスト!$E$10:$G$50,2,FALSE),2)&lt;&gt;0,$Q$1,""),"")</f>
        <v/>
      </c>
      <c r="R72" s="99" t="str">
        <f t="shared" si="29"/>
        <v/>
      </c>
      <c r="S72" s="99" t="str">
        <f>IF(F72&lt;&gt;"",IF(AND(VLOOKUP(C72,競技一覧!$T$5:$U$50,2,TRUE)="Y",OR(VLOOKUP(D72,選手登録!$A$7:$I$56,9,TRUE)="",VLOOKUP(E72,馬匹登録!$A$8:$D$54,4,TRUE)="")),$S$1,""),"")</f>
        <v/>
      </c>
      <c r="T72" s="99" t="str">
        <f t="shared" si="21"/>
        <v/>
      </c>
      <c r="U72" s="99">
        <f t="shared" si="22"/>
        <v>0</v>
      </c>
      <c r="V72" s="99" t="str">
        <f>IFERROR(VLOOKUP(C72,競技一覧!$T$5:$AA$50,8,TRUE),"")</f>
        <v/>
      </c>
      <c r="X72" s="99">
        <f t="shared" si="23"/>
        <v>67</v>
      </c>
      <c r="Y72" s="99" t="str">
        <f t="shared" si="24"/>
        <v/>
      </c>
      <c r="Z72" s="99" t="str">
        <f t="shared" si="25"/>
        <v/>
      </c>
      <c r="AA72" s="99" t="str">
        <f t="shared" si="26"/>
        <v/>
      </c>
      <c r="AB72" s="99" t="str">
        <f>IF(J72&lt;&gt;"",VLOOKUP(J72,リスト!$H$2:$I$5,2,FALSE),"")</f>
        <v/>
      </c>
      <c r="AC72" s="99" t="str">
        <f t="shared" si="12"/>
        <v/>
      </c>
      <c r="AD72" s="99" t="str">
        <f t="shared" si="30"/>
        <v/>
      </c>
    </row>
    <row r="73" spans="1:30" ht="23.25" customHeight="1" x14ac:dyDescent="0.4">
      <c r="A73" s="256">
        <v>68</v>
      </c>
      <c r="B73" s="258" t="str">
        <f>IF(F73&lt;&gt;"",VLOOKUP(F73,競技一覧!$P$5:$T$50,4,FALSE),"")</f>
        <v/>
      </c>
      <c r="C73" s="138" t="str">
        <f>IF(F73&lt;&gt;"",VLOOKUP(F73,競技一覧!$P$5:$T$50,5,FALSE),"")</f>
        <v/>
      </c>
      <c r="D73" s="138" t="str">
        <f>IF(G73&lt;&gt;"",VLOOKUP(G73,選手登録!$L$7:$O$56,4,FALSE),"")</f>
        <v/>
      </c>
      <c r="E73" s="138" t="str">
        <f>IF(H73&lt;&gt;"",VLOOKUP(H73,馬匹登録!$B$8:$G$54,6,FALSE),"")</f>
        <v/>
      </c>
      <c r="F73" s="254"/>
      <c r="G73" s="147"/>
      <c r="H73" s="147"/>
      <c r="I73" s="81" t="str">
        <f>IF(D73&lt;&gt;"",IF(VLOOKUP(D73,選手登録!$A$7:$H$56,8,FALSE)&lt;&gt;"",VLOOKUP(D73,選手登録!$A$7:$H$56,8,FALSE),団体登録!$B$6),"")</f>
        <v/>
      </c>
      <c r="J73" s="151"/>
      <c r="K73" s="75" t="str">
        <f>IF(AND(C73&lt;&gt;"",J73&lt;&gt;""),VLOOKUP(C73,競技一覧!$T$5:$Z$50,3+VLOOKUP(J73,リスト!$H$2:$I$5,2,FALSE),FALSE),"")</f>
        <v/>
      </c>
      <c r="L73" s="148"/>
      <c r="M73" s="264" t="str">
        <f t="shared" si="27"/>
        <v/>
      </c>
      <c r="N73" t="s">
        <v>205</v>
      </c>
      <c r="O73" s="99" t="str">
        <f t="shared" si="20"/>
        <v/>
      </c>
      <c r="P73" s="99" t="str">
        <f t="shared" si="28"/>
        <v/>
      </c>
      <c r="Q73" s="99" t="str">
        <f>IF(J73="社馬連",IF(IFERROR(VLOOKUP(I73,リスト!$E$10:$G$50,2,FALSE),2)&lt;&gt;0,$Q$1,""),"")</f>
        <v/>
      </c>
      <c r="R73" s="99" t="str">
        <f t="shared" si="29"/>
        <v/>
      </c>
      <c r="S73" s="99" t="str">
        <f>IF(F73&lt;&gt;"",IF(AND(VLOOKUP(C73,競技一覧!$T$5:$U$50,2,TRUE)="Y",OR(VLOOKUP(D73,選手登録!$A$7:$I$56,9,TRUE)="",VLOOKUP(E73,馬匹登録!$A$8:$D$54,4,TRUE)="")),$S$1,""),"")</f>
        <v/>
      </c>
      <c r="T73" s="99" t="str">
        <f t="shared" si="21"/>
        <v/>
      </c>
      <c r="U73" s="99">
        <f t="shared" si="22"/>
        <v>0</v>
      </c>
      <c r="V73" s="99" t="str">
        <f>IFERROR(VLOOKUP(C73,競技一覧!$T$5:$AA$50,8,TRUE),"")</f>
        <v/>
      </c>
      <c r="X73" s="99">
        <f t="shared" si="23"/>
        <v>68</v>
      </c>
      <c r="Y73" s="99" t="str">
        <f t="shared" si="24"/>
        <v/>
      </c>
      <c r="Z73" s="99" t="str">
        <f t="shared" si="25"/>
        <v/>
      </c>
      <c r="AA73" s="99" t="str">
        <f t="shared" si="26"/>
        <v/>
      </c>
      <c r="AB73" s="99" t="str">
        <f>IF(J73&lt;&gt;"",VLOOKUP(J73,リスト!$H$2:$I$5,2,FALSE),"")</f>
        <v/>
      </c>
      <c r="AC73" s="99" t="str">
        <f t="shared" si="12"/>
        <v/>
      </c>
      <c r="AD73" s="99" t="str">
        <f t="shared" si="30"/>
        <v/>
      </c>
    </row>
    <row r="74" spans="1:30" ht="23.25" customHeight="1" x14ac:dyDescent="0.4">
      <c r="A74" s="256">
        <v>69</v>
      </c>
      <c r="B74" s="258" t="str">
        <f>IF(F74&lt;&gt;"",VLOOKUP(F74,競技一覧!$P$5:$T$50,4,FALSE),"")</f>
        <v/>
      </c>
      <c r="C74" s="138" t="str">
        <f>IF(F74&lt;&gt;"",VLOOKUP(F74,競技一覧!$P$5:$T$50,5,FALSE),"")</f>
        <v/>
      </c>
      <c r="D74" s="138" t="str">
        <f>IF(G74&lt;&gt;"",VLOOKUP(G74,選手登録!$L$7:$O$56,4,FALSE),"")</f>
        <v/>
      </c>
      <c r="E74" s="138" t="str">
        <f>IF(H74&lt;&gt;"",VLOOKUP(H74,馬匹登録!$B$8:$G$54,6,FALSE),"")</f>
        <v/>
      </c>
      <c r="F74" s="254"/>
      <c r="G74" s="147"/>
      <c r="H74" s="147"/>
      <c r="I74" s="81" t="str">
        <f>IF(D74&lt;&gt;"",IF(VLOOKUP(D74,選手登録!$A$7:$H$56,8,FALSE)&lt;&gt;"",VLOOKUP(D74,選手登録!$A$7:$H$56,8,FALSE),団体登録!$B$6),"")</f>
        <v/>
      </c>
      <c r="J74" s="151"/>
      <c r="K74" s="75" t="str">
        <f>IF(AND(C74&lt;&gt;"",J74&lt;&gt;""),VLOOKUP(C74,競技一覧!$T$5:$Z$50,3+VLOOKUP(J74,リスト!$H$2:$I$5,2,FALSE),FALSE),"")</f>
        <v/>
      </c>
      <c r="L74" s="148"/>
      <c r="M74" s="264" t="str">
        <f t="shared" si="27"/>
        <v/>
      </c>
      <c r="N74" t="s">
        <v>205</v>
      </c>
      <c r="O74" s="99" t="str">
        <f t="shared" si="20"/>
        <v/>
      </c>
      <c r="P74" s="99" t="str">
        <f t="shared" si="28"/>
        <v/>
      </c>
      <c r="Q74" s="99" t="str">
        <f>IF(J74="社馬連",IF(IFERROR(VLOOKUP(I74,リスト!$E$10:$G$50,2,FALSE),2)&lt;&gt;0,$Q$1,""),"")</f>
        <v/>
      </c>
      <c r="R74" s="99" t="str">
        <f t="shared" si="29"/>
        <v/>
      </c>
      <c r="S74" s="99" t="str">
        <f>IF(F74&lt;&gt;"",IF(AND(VLOOKUP(C74,競技一覧!$T$5:$U$50,2,TRUE)="Y",OR(VLOOKUP(D74,選手登録!$A$7:$I$56,9,TRUE)="",VLOOKUP(E74,馬匹登録!$A$8:$D$54,4,TRUE)="")),$S$1,""),"")</f>
        <v/>
      </c>
      <c r="T74" s="99" t="str">
        <f t="shared" si="21"/>
        <v/>
      </c>
      <c r="U74" s="99">
        <f t="shared" si="22"/>
        <v>0</v>
      </c>
      <c r="V74" s="99" t="str">
        <f>IFERROR(VLOOKUP(C74,競技一覧!$T$5:$AA$50,8,TRUE),"")</f>
        <v/>
      </c>
      <c r="X74" s="99">
        <f t="shared" si="23"/>
        <v>69</v>
      </c>
      <c r="Y74" s="99" t="str">
        <f t="shared" si="24"/>
        <v/>
      </c>
      <c r="Z74" s="99" t="str">
        <f t="shared" si="25"/>
        <v/>
      </c>
      <c r="AA74" s="99" t="str">
        <f t="shared" si="26"/>
        <v/>
      </c>
      <c r="AB74" s="99" t="str">
        <f>IF(J74&lt;&gt;"",VLOOKUP(J74,リスト!$H$2:$I$5,2,FALSE),"")</f>
        <v/>
      </c>
      <c r="AC74" s="99" t="str">
        <f t="shared" ref="AC74:AC85" si="31">IF(K74&lt;&gt;"",K74,"")</f>
        <v/>
      </c>
      <c r="AD74" s="99" t="str">
        <f t="shared" si="30"/>
        <v/>
      </c>
    </row>
    <row r="75" spans="1:30" ht="23.25" customHeight="1" x14ac:dyDescent="0.4">
      <c r="A75" s="256">
        <v>70</v>
      </c>
      <c r="B75" s="258" t="str">
        <f>IF(F75&lt;&gt;"",VLOOKUP(F75,競技一覧!$P$5:$T$50,4,FALSE),"")</f>
        <v/>
      </c>
      <c r="C75" s="138" t="str">
        <f>IF(F75&lt;&gt;"",VLOOKUP(F75,競技一覧!$P$5:$T$50,5,FALSE),"")</f>
        <v/>
      </c>
      <c r="D75" s="138" t="str">
        <f>IF(G75&lt;&gt;"",VLOOKUP(G75,選手登録!$L$7:$O$56,4,FALSE),"")</f>
        <v/>
      </c>
      <c r="E75" s="138" t="str">
        <f>IF(H75&lt;&gt;"",VLOOKUP(H75,馬匹登録!$B$8:$G$54,6,FALSE),"")</f>
        <v/>
      </c>
      <c r="F75" s="254"/>
      <c r="G75" s="147"/>
      <c r="H75" s="147"/>
      <c r="I75" s="81" t="str">
        <f>IF(D75&lt;&gt;"",IF(VLOOKUP(D75,選手登録!$A$7:$H$56,8,FALSE)&lt;&gt;"",VLOOKUP(D75,選手登録!$A$7:$H$56,8,FALSE),団体登録!$B$6),"")</f>
        <v/>
      </c>
      <c r="J75" s="151"/>
      <c r="K75" s="28" t="str">
        <f>IF(AND(C75&lt;&gt;"",J75&lt;&gt;""),VLOOKUP(C75,競技一覧!$T$5:$Z$50,3+VLOOKUP(J75,リスト!$H$2:$I$5,2,FALSE),FALSE),"")</f>
        <v/>
      </c>
      <c r="L75" s="148"/>
      <c r="M75" s="264" t="str">
        <f t="shared" si="27"/>
        <v/>
      </c>
      <c r="N75" t="s">
        <v>205</v>
      </c>
      <c r="O75" s="99" t="str">
        <f t="shared" si="20"/>
        <v/>
      </c>
      <c r="P75" s="99" t="str">
        <f t="shared" si="28"/>
        <v/>
      </c>
      <c r="Q75" s="99" t="str">
        <f>IF(J75="社馬連",IF(IFERROR(VLOOKUP(I75,リスト!$E$10:$G$50,2,FALSE),2)&lt;&gt;0,$Q$1,""),"")</f>
        <v/>
      </c>
      <c r="R75" s="99" t="str">
        <f t="shared" si="29"/>
        <v/>
      </c>
      <c r="S75" s="99" t="str">
        <f>IF(F75&lt;&gt;"",IF(AND(VLOOKUP(C75,競技一覧!$T$5:$U$50,2,TRUE)="Y",OR(VLOOKUP(D75,選手登録!$A$7:$I$56,9,TRUE)="",VLOOKUP(E75,馬匹登録!$A$8:$D$54,4,TRUE)="")),$S$1,""),"")</f>
        <v/>
      </c>
      <c r="T75" s="99" t="str">
        <f t="shared" si="21"/>
        <v/>
      </c>
      <c r="U75" s="99">
        <f t="shared" si="22"/>
        <v>0</v>
      </c>
      <c r="V75" s="99" t="str">
        <f>IFERROR(VLOOKUP(C75,競技一覧!$T$5:$AA$50,8,TRUE),"")</f>
        <v/>
      </c>
      <c r="X75" s="99">
        <f t="shared" si="23"/>
        <v>70</v>
      </c>
      <c r="Y75" s="99" t="str">
        <f t="shared" si="24"/>
        <v/>
      </c>
      <c r="Z75" s="99" t="str">
        <f t="shared" si="25"/>
        <v/>
      </c>
      <c r="AA75" s="99" t="str">
        <f t="shared" si="26"/>
        <v/>
      </c>
      <c r="AB75" s="99" t="str">
        <f>IF(J75&lt;&gt;"",VLOOKUP(J75,リスト!$H$2:$I$5,2,FALSE),"")</f>
        <v/>
      </c>
      <c r="AC75" s="99" t="str">
        <f t="shared" si="31"/>
        <v/>
      </c>
      <c r="AD75" s="99" t="str">
        <f t="shared" si="30"/>
        <v/>
      </c>
    </row>
    <row r="76" spans="1:30" ht="23.25" customHeight="1" x14ac:dyDescent="0.4">
      <c r="A76" s="256">
        <v>71</v>
      </c>
      <c r="B76" s="258" t="str">
        <f>IF(F76&lt;&gt;"",VLOOKUP(F76,競技一覧!$P$5:$T$50,4,FALSE),"")</f>
        <v/>
      </c>
      <c r="C76" s="138" t="str">
        <f>IF(F76&lt;&gt;"",VLOOKUP(F76,競技一覧!$P$5:$T$50,5,FALSE),"")</f>
        <v/>
      </c>
      <c r="D76" s="138" t="str">
        <f>IF(G76&lt;&gt;"",VLOOKUP(G76,選手登録!$L$7:$O$56,4,FALSE),"")</f>
        <v/>
      </c>
      <c r="E76" s="138" t="str">
        <f>IF(H76&lt;&gt;"",VLOOKUP(H76,馬匹登録!$B$8:$G$54,6,FALSE),"")</f>
        <v/>
      </c>
      <c r="F76" s="254"/>
      <c r="G76" s="147"/>
      <c r="H76" s="147"/>
      <c r="I76" s="81" t="str">
        <f>IF(D76&lt;&gt;"",IF(VLOOKUP(D76,選手登録!$A$7:$H$56,8,FALSE)&lt;&gt;"",VLOOKUP(D76,選手登録!$A$7:$H$56,8,FALSE),団体登録!$B$6),"")</f>
        <v/>
      </c>
      <c r="J76" s="151"/>
      <c r="K76" s="28" t="str">
        <f>IF(AND(C76&lt;&gt;"",J76&lt;&gt;""),VLOOKUP(C76,競技一覧!$T$5:$Z$50,3+VLOOKUP(J76,リスト!$H$2:$I$5,2,FALSE),FALSE),"")</f>
        <v/>
      </c>
      <c r="L76" s="148"/>
      <c r="M76" s="264" t="str">
        <f t="shared" si="27"/>
        <v/>
      </c>
      <c r="N76" t="s">
        <v>205</v>
      </c>
      <c r="O76" s="99" t="str">
        <f t="shared" si="20"/>
        <v/>
      </c>
      <c r="P76" s="99" t="str">
        <f t="shared" si="28"/>
        <v/>
      </c>
      <c r="Q76" s="99" t="str">
        <f>IF(J76="社馬連",IF(IFERROR(VLOOKUP(I76,リスト!$E$10:$G$50,2,FALSE),2)&lt;&gt;0,$Q$1,""),"")</f>
        <v/>
      </c>
      <c r="R76" s="99" t="str">
        <f t="shared" si="29"/>
        <v/>
      </c>
      <c r="S76" s="99" t="str">
        <f>IF(F76&lt;&gt;"",IF(AND(VLOOKUP(C76,競技一覧!$T$5:$U$50,2,TRUE)="Y",OR(VLOOKUP(D76,選手登録!$A$7:$I$56,9,TRUE)="",VLOOKUP(E76,馬匹登録!$A$8:$D$54,4,TRUE)="")),$S$1,""),"")</f>
        <v/>
      </c>
      <c r="T76" s="99" t="str">
        <f t="shared" si="21"/>
        <v/>
      </c>
      <c r="U76" s="99">
        <f t="shared" si="22"/>
        <v>0</v>
      </c>
      <c r="V76" s="99" t="str">
        <f>IFERROR(VLOOKUP(C76,競技一覧!$T$5:$AA$50,8,TRUE),"")</f>
        <v/>
      </c>
      <c r="X76" s="99">
        <f t="shared" si="23"/>
        <v>71</v>
      </c>
      <c r="Y76" s="99" t="str">
        <f t="shared" si="24"/>
        <v/>
      </c>
      <c r="Z76" s="99" t="str">
        <f t="shared" si="25"/>
        <v/>
      </c>
      <c r="AA76" s="99" t="str">
        <f t="shared" si="26"/>
        <v/>
      </c>
      <c r="AB76" s="99" t="str">
        <f>IF(J76&lt;&gt;"",VLOOKUP(J76,リスト!$H$2:$I$5,2,FALSE),"")</f>
        <v/>
      </c>
      <c r="AC76" s="99" t="str">
        <f t="shared" si="31"/>
        <v/>
      </c>
      <c r="AD76" s="99" t="str">
        <f t="shared" si="30"/>
        <v/>
      </c>
    </row>
    <row r="77" spans="1:30" ht="23.25" customHeight="1" x14ac:dyDescent="0.4">
      <c r="A77" s="256">
        <v>72</v>
      </c>
      <c r="B77" s="258" t="str">
        <f>IF(F77&lt;&gt;"",VLOOKUP(F77,競技一覧!$P$5:$T$50,4,FALSE),"")</f>
        <v/>
      </c>
      <c r="C77" s="138" t="str">
        <f>IF(F77&lt;&gt;"",VLOOKUP(F77,競技一覧!$P$5:$T$50,5,FALSE),"")</f>
        <v/>
      </c>
      <c r="D77" s="138" t="str">
        <f>IF(G77&lt;&gt;"",VLOOKUP(G77,選手登録!$L$7:$O$56,4,FALSE),"")</f>
        <v/>
      </c>
      <c r="E77" s="138" t="str">
        <f>IF(H77&lt;&gt;"",VLOOKUP(H77,馬匹登録!$B$8:$G$54,6,FALSE),"")</f>
        <v/>
      </c>
      <c r="F77" s="254"/>
      <c r="G77" s="147"/>
      <c r="H77" s="147"/>
      <c r="I77" s="81" t="str">
        <f>IF(D77&lt;&gt;"",IF(VLOOKUP(D77,選手登録!$A$7:$H$56,8,FALSE)&lt;&gt;"",VLOOKUP(D77,選手登録!$A$7:$H$56,8,FALSE),団体登録!$B$6),"")</f>
        <v/>
      </c>
      <c r="J77" s="151"/>
      <c r="K77" s="28" t="str">
        <f>IF(AND(C77&lt;&gt;"",J77&lt;&gt;""),VLOOKUP(C77,競技一覧!$T$5:$Z$50,3+VLOOKUP(J77,リスト!$H$2:$I$5,2,FALSE),FALSE),"")</f>
        <v/>
      </c>
      <c r="L77" s="148"/>
      <c r="M77" s="264" t="str">
        <f t="shared" si="27"/>
        <v/>
      </c>
      <c r="N77" t="s">
        <v>205</v>
      </c>
      <c r="O77" s="99" t="str">
        <f t="shared" si="20"/>
        <v/>
      </c>
      <c r="P77" s="99" t="str">
        <f t="shared" si="28"/>
        <v/>
      </c>
      <c r="Q77" s="99" t="str">
        <f>IF(J77="社馬連",IF(IFERROR(VLOOKUP(I77,リスト!$E$10:$G$50,2,FALSE),2)&lt;&gt;0,$Q$1,""),"")</f>
        <v/>
      </c>
      <c r="R77" s="99" t="str">
        <f t="shared" si="29"/>
        <v/>
      </c>
      <c r="S77" s="99" t="str">
        <f>IF(F77&lt;&gt;"",IF(AND(VLOOKUP(C77,競技一覧!$T$5:$U$50,2,TRUE)="Y",OR(VLOOKUP(D77,選手登録!$A$7:$I$56,9,TRUE)="",VLOOKUP(E77,馬匹登録!$A$8:$D$54,4,TRUE)="")),$S$1,""),"")</f>
        <v/>
      </c>
      <c r="T77" s="99" t="str">
        <f t="shared" si="21"/>
        <v/>
      </c>
      <c r="U77" s="99">
        <f t="shared" si="22"/>
        <v>0</v>
      </c>
      <c r="V77" s="99" t="str">
        <f>IFERROR(VLOOKUP(C77,競技一覧!$T$5:$AA$50,8,TRUE),"")</f>
        <v/>
      </c>
      <c r="X77" s="99">
        <f t="shared" si="23"/>
        <v>72</v>
      </c>
      <c r="Y77" s="99" t="str">
        <f t="shared" si="24"/>
        <v/>
      </c>
      <c r="Z77" s="99" t="str">
        <f t="shared" si="25"/>
        <v/>
      </c>
      <c r="AA77" s="99" t="str">
        <f t="shared" si="26"/>
        <v/>
      </c>
      <c r="AB77" s="99" t="str">
        <f>IF(J77&lt;&gt;"",VLOOKUP(J77,リスト!$H$2:$I$5,2,FALSE),"")</f>
        <v/>
      </c>
      <c r="AC77" s="99" t="str">
        <f t="shared" si="31"/>
        <v/>
      </c>
      <c r="AD77" s="99" t="str">
        <f t="shared" si="30"/>
        <v/>
      </c>
    </row>
    <row r="78" spans="1:30" ht="23.25" customHeight="1" x14ac:dyDescent="0.4">
      <c r="A78" s="256">
        <v>73</v>
      </c>
      <c r="B78" s="258" t="str">
        <f>IF(F78&lt;&gt;"",VLOOKUP(F78,競技一覧!$P$5:$T$50,4,FALSE),"")</f>
        <v/>
      </c>
      <c r="C78" s="138" t="str">
        <f>IF(F78&lt;&gt;"",VLOOKUP(F78,競技一覧!$P$5:$T$50,5,FALSE),"")</f>
        <v/>
      </c>
      <c r="D78" s="138" t="str">
        <f>IF(G78&lt;&gt;"",VLOOKUP(G78,選手登録!$L$7:$O$56,4,FALSE),"")</f>
        <v/>
      </c>
      <c r="E78" s="138" t="str">
        <f>IF(H78&lt;&gt;"",VLOOKUP(H78,馬匹登録!$B$8:$G$54,6,FALSE),"")</f>
        <v/>
      </c>
      <c r="F78" s="254"/>
      <c r="G78" s="147"/>
      <c r="H78" s="147"/>
      <c r="I78" s="81" t="str">
        <f>IF(D78&lt;&gt;"",IF(VLOOKUP(D78,選手登録!$A$7:$H$56,8,FALSE)&lt;&gt;"",VLOOKUP(D78,選手登録!$A$7:$H$56,8,FALSE),団体登録!$B$6),"")</f>
        <v/>
      </c>
      <c r="J78" s="151"/>
      <c r="K78" s="28" t="str">
        <f>IF(AND(C78&lt;&gt;"",J78&lt;&gt;""),VLOOKUP(C78,競技一覧!$T$5:$Z$50,3+VLOOKUP(J78,リスト!$H$2:$I$5,2,FALSE),FALSE),"")</f>
        <v/>
      </c>
      <c r="L78" s="148"/>
      <c r="M78" s="264" t="str">
        <f t="shared" si="27"/>
        <v/>
      </c>
      <c r="N78" t="s">
        <v>205</v>
      </c>
      <c r="O78" s="99" t="str">
        <f t="shared" si="20"/>
        <v/>
      </c>
      <c r="P78" s="99" t="str">
        <f t="shared" si="28"/>
        <v/>
      </c>
      <c r="Q78" s="99" t="str">
        <f>IF(J78="社馬連",IF(IFERROR(VLOOKUP(I78,リスト!$E$10:$G$50,2,FALSE),2)&lt;&gt;0,$Q$1,""),"")</f>
        <v/>
      </c>
      <c r="R78" s="99" t="str">
        <f t="shared" si="29"/>
        <v/>
      </c>
      <c r="S78" s="99" t="str">
        <f>IF(F78&lt;&gt;"",IF(AND(VLOOKUP(C78,競技一覧!$T$5:$U$50,2,TRUE)="Y",OR(VLOOKUP(D78,選手登録!$A$7:$I$56,9,TRUE)="",VLOOKUP(E78,馬匹登録!$A$8:$D$54,4,TRUE)="")),$S$1,""),"")</f>
        <v/>
      </c>
      <c r="T78" s="99" t="str">
        <f t="shared" si="21"/>
        <v/>
      </c>
      <c r="U78" s="99">
        <f t="shared" si="22"/>
        <v>0</v>
      </c>
      <c r="V78" s="99" t="str">
        <f>IFERROR(VLOOKUP(C78,競技一覧!$T$5:$AA$50,8,TRUE),"")</f>
        <v/>
      </c>
      <c r="X78" s="99">
        <f t="shared" si="23"/>
        <v>73</v>
      </c>
      <c r="Y78" s="99" t="str">
        <f t="shared" si="24"/>
        <v/>
      </c>
      <c r="Z78" s="99" t="str">
        <f t="shared" si="25"/>
        <v/>
      </c>
      <c r="AA78" s="99" t="str">
        <f t="shared" si="26"/>
        <v/>
      </c>
      <c r="AB78" s="99" t="str">
        <f>IF(J78&lt;&gt;"",VLOOKUP(J78,リスト!$H$2:$I$5,2,FALSE),"")</f>
        <v/>
      </c>
      <c r="AC78" s="99" t="str">
        <f t="shared" si="31"/>
        <v/>
      </c>
      <c r="AD78" s="99" t="str">
        <f t="shared" si="30"/>
        <v/>
      </c>
    </row>
    <row r="79" spans="1:30" ht="23.25" customHeight="1" x14ac:dyDescent="0.4">
      <c r="A79" s="256">
        <v>74</v>
      </c>
      <c r="B79" s="258" t="str">
        <f>IF(F79&lt;&gt;"",VLOOKUP(F79,競技一覧!$P$5:$T$50,4,FALSE),"")</f>
        <v/>
      </c>
      <c r="C79" s="138" t="str">
        <f>IF(F79&lt;&gt;"",VLOOKUP(F79,競技一覧!$P$5:$T$50,5,FALSE),"")</f>
        <v/>
      </c>
      <c r="D79" s="138" t="str">
        <f>IF(G79&lt;&gt;"",VLOOKUP(G79,選手登録!$L$7:$O$56,4,FALSE),"")</f>
        <v/>
      </c>
      <c r="E79" s="138" t="str">
        <f>IF(H79&lt;&gt;"",VLOOKUP(H79,馬匹登録!$B$8:$G$54,6,FALSE),"")</f>
        <v/>
      </c>
      <c r="F79" s="254"/>
      <c r="G79" s="147"/>
      <c r="H79" s="147"/>
      <c r="I79" s="81" t="str">
        <f>IF(D79&lt;&gt;"",IF(VLOOKUP(D79,選手登録!$A$7:$H$56,8,FALSE)&lt;&gt;"",VLOOKUP(D79,選手登録!$A$7:$H$56,8,FALSE),団体登録!$B$6),"")</f>
        <v/>
      </c>
      <c r="J79" s="151"/>
      <c r="K79" s="28" t="str">
        <f>IF(AND(C79&lt;&gt;"",J79&lt;&gt;""),VLOOKUP(C79,競技一覧!$T$5:$Z$50,3+VLOOKUP(J79,リスト!$H$2:$I$5,2,FALSE),FALSE),"")</f>
        <v/>
      </c>
      <c r="L79" s="148"/>
      <c r="M79" s="264" t="str">
        <f t="shared" si="27"/>
        <v/>
      </c>
      <c r="N79" t="s">
        <v>205</v>
      </c>
      <c r="O79" s="99" t="str">
        <f t="shared" si="20"/>
        <v/>
      </c>
      <c r="P79" s="99" t="str">
        <f t="shared" si="28"/>
        <v/>
      </c>
      <c r="Q79" s="99" t="str">
        <f>IF(J79="社馬連",IF(IFERROR(VLOOKUP(I79,リスト!$E$10:$G$50,2,FALSE),2)&lt;&gt;0,$Q$1,""),"")</f>
        <v/>
      </c>
      <c r="R79" s="99" t="str">
        <f t="shared" si="29"/>
        <v/>
      </c>
      <c r="S79" s="99" t="str">
        <f>IF(F79&lt;&gt;"",IF(AND(VLOOKUP(C79,競技一覧!$T$5:$U$50,2,TRUE)="Y",OR(VLOOKUP(D79,選手登録!$A$7:$I$56,9,TRUE)="",VLOOKUP(E79,馬匹登録!$A$8:$D$54,4,TRUE)="")),$S$1,""),"")</f>
        <v/>
      </c>
      <c r="T79" s="99" t="str">
        <f t="shared" si="21"/>
        <v/>
      </c>
      <c r="U79" s="99">
        <f t="shared" si="22"/>
        <v>0</v>
      </c>
      <c r="V79" s="99" t="str">
        <f>IFERROR(VLOOKUP(C79,競技一覧!$T$5:$AA$50,8,TRUE),"")</f>
        <v/>
      </c>
      <c r="X79" s="99">
        <f t="shared" si="23"/>
        <v>74</v>
      </c>
      <c r="Y79" s="99" t="str">
        <f t="shared" si="24"/>
        <v/>
      </c>
      <c r="Z79" s="99" t="str">
        <f t="shared" si="25"/>
        <v/>
      </c>
      <c r="AA79" s="99" t="str">
        <f t="shared" si="26"/>
        <v/>
      </c>
      <c r="AB79" s="99" t="str">
        <f>IF(J79&lt;&gt;"",VLOOKUP(J79,リスト!$H$2:$I$5,2,FALSE),"")</f>
        <v/>
      </c>
      <c r="AC79" s="99" t="str">
        <f t="shared" si="31"/>
        <v/>
      </c>
      <c r="AD79" s="99" t="str">
        <f t="shared" si="30"/>
        <v/>
      </c>
    </row>
    <row r="80" spans="1:30" ht="23.25" customHeight="1" x14ac:dyDescent="0.4">
      <c r="A80" s="256">
        <v>75</v>
      </c>
      <c r="B80" s="258" t="str">
        <f>IF(F80&lt;&gt;"",VLOOKUP(F80,競技一覧!$P$5:$T$50,4,FALSE),"")</f>
        <v/>
      </c>
      <c r="C80" s="138" t="str">
        <f>IF(F80&lt;&gt;"",VLOOKUP(F80,競技一覧!$P$5:$T$50,5,FALSE),"")</f>
        <v/>
      </c>
      <c r="D80" s="138" t="str">
        <f>IF(G80&lt;&gt;"",VLOOKUP(G80,選手登録!$L$7:$O$56,4,FALSE),"")</f>
        <v/>
      </c>
      <c r="E80" s="138" t="str">
        <f>IF(H80&lt;&gt;"",VLOOKUP(H80,馬匹登録!$B$8:$G$54,6,FALSE),"")</f>
        <v/>
      </c>
      <c r="F80" s="254"/>
      <c r="G80" s="147"/>
      <c r="H80" s="147"/>
      <c r="I80" s="81" t="str">
        <f>IF(D80&lt;&gt;"",IF(VLOOKUP(D80,選手登録!$A$7:$H$56,8,FALSE)&lt;&gt;"",VLOOKUP(D80,選手登録!$A$7:$H$56,8,FALSE),団体登録!$B$6),"")</f>
        <v/>
      </c>
      <c r="J80" s="151"/>
      <c r="K80" s="28" t="str">
        <f>IF(AND(C80&lt;&gt;"",J80&lt;&gt;""),VLOOKUP(C80,競技一覧!$T$5:$Z$50,3+VLOOKUP(J80,リスト!$H$2:$I$5,2,FALSE),FALSE),"")</f>
        <v/>
      </c>
      <c r="L80" s="148"/>
      <c r="M80" s="264" t="str">
        <f t="shared" si="27"/>
        <v/>
      </c>
      <c r="N80" t="s">
        <v>205</v>
      </c>
      <c r="O80" s="99" t="str">
        <f t="shared" si="20"/>
        <v/>
      </c>
      <c r="P80" s="99" t="str">
        <f t="shared" si="28"/>
        <v/>
      </c>
      <c r="Q80" s="99" t="str">
        <f>IF(J80="社馬連",IF(IFERROR(VLOOKUP(I80,リスト!$E$10:$G$50,2,FALSE),2)&lt;&gt;0,$Q$1,""),"")</f>
        <v/>
      </c>
      <c r="R80" s="99" t="str">
        <f t="shared" si="29"/>
        <v/>
      </c>
      <c r="S80" s="99" t="str">
        <f>IF(F80&lt;&gt;"",IF(AND(VLOOKUP(C80,競技一覧!$T$5:$U$50,2,TRUE)="Y",OR(VLOOKUP(D80,選手登録!$A$7:$I$56,9,TRUE)="",VLOOKUP(E80,馬匹登録!$A$8:$D$54,4,TRUE)="")),$S$1,""),"")</f>
        <v/>
      </c>
      <c r="T80" s="99" t="str">
        <f t="shared" si="21"/>
        <v/>
      </c>
      <c r="U80" s="99">
        <f t="shared" si="22"/>
        <v>0</v>
      </c>
      <c r="V80" s="99" t="str">
        <f>IFERROR(VLOOKUP(C80,競技一覧!$T$5:$AA$50,8,TRUE),"")</f>
        <v/>
      </c>
      <c r="X80" s="99">
        <f t="shared" si="23"/>
        <v>75</v>
      </c>
      <c r="Y80" s="99" t="str">
        <f t="shared" si="24"/>
        <v/>
      </c>
      <c r="Z80" s="99" t="str">
        <f t="shared" si="25"/>
        <v/>
      </c>
      <c r="AA80" s="99" t="str">
        <f t="shared" si="26"/>
        <v/>
      </c>
      <c r="AB80" s="99" t="str">
        <f>IF(J80&lt;&gt;"",VLOOKUP(J80,リスト!$H$2:$I$5,2,FALSE),"")</f>
        <v/>
      </c>
      <c r="AC80" s="99" t="str">
        <f t="shared" si="31"/>
        <v/>
      </c>
      <c r="AD80" s="99" t="str">
        <f t="shared" si="30"/>
        <v/>
      </c>
    </row>
    <row r="81" spans="1:30" ht="23.25" customHeight="1" x14ac:dyDescent="0.4">
      <c r="A81" s="256">
        <v>76</v>
      </c>
      <c r="B81" s="258" t="str">
        <f>IF(F81&lt;&gt;"",VLOOKUP(F81,競技一覧!$P$5:$T$50,4,FALSE),"")</f>
        <v/>
      </c>
      <c r="C81" s="138" t="str">
        <f>IF(F81&lt;&gt;"",VLOOKUP(F81,競技一覧!$P$5:$T$50,5,FALSE),"")</f>
        <v/>
      </c>
      <c r="D81" s="138" t="str">
        <f>IF(G81&lt;&gt;"",VLOOKUP(G81,選手登録!$L$7:$O$56,4,FALSE),"")</f>
        <v/>
      </c>
      <c r="E81" s="138" t="str">
        <f>IF(H81&lt;&gt;"",VLOOKUP(H81,馬匹登録!$B$8:$G$54,6,FALSE),"")</f>
        <v/>
      </c>
      <c r="F81" s="254"/>
      <c r="G81" s="147"/>
      <c r="H81" s="147"/>
      <c r="I81" s="81" t="str">
        <f>IF(D81&lt;&gt;"",IF(VLOOKUP(D81,選手登録!$A$7:$H$56,8,FALSE)&lt;&gt;"",VLOOKUP(D81,選手登録!$A$7:$H$56,8,FALSE),団体登録!$B$6),"")</f>
        <v/>
      </c>
      <c r="J81" s="151"/>
      <c r="K81" s="28" t="str">
        <f>IF(AND(C81&lt;&gt;"",J81&lt;&gt;""),VLOOKUP(C81,競技一覧!$T$5:$Z$50,3+VLOOKUP(J81,リスト!$H$2:$I$5,2,FALSE),FALSE),"")</f>
        <v/>
      </c>
      <c r="L81" s="148"/>
      <c r="M81" s="264" t="str">
        <f t="shared" si="27"/>
        <v/>
      </c>
      <c r="N81" t="s">
        <v>205</v>
      </c>
      <c r="O81" s="99" t="str">
        <f t="shared" si="20"/>
        <v/>
      </c>
      <c r="P81" s="99" t="str">
        <f t="shared" si="28"/>
        <v/>
      </c>
      <c r="Q81" s="99" t="str">
        <f>IF(J81="社馬連",IF(IFERROR(VLOOKUP(I81,リスト!$E$10:$G$50,2,FALSE),2)&lt;&gt;0,$Q$1,""),"")</f>
        <v/>
      </c>
      <c r="R81" s="99" t="str">
        <f t="shared" si="29"/>
        <v/>
      </c>
      <c r="S81" s="99" t="str">
        <f>IF(F81&lt;&gt;"",IF(AND(VLOOKUP(C81,競技一覧!$T$5:$U$50,2,TRUE)="Y",OR(VLOOKUP(D81,選手登録!$A$7:$I$56,9,TRUE)="",VLOOKUP(E81,馬匹登録!$A$8:$D$54,4,TRUE)="")),$S$1,""),"")</f>
        <v/>
      </c>
      <c r="T81" s="99" t="str">
        <f t="shared" si="21"/>
        <v/>
      </c>
      <c r="U81" s="99">
        <f t="shared" si="22"/>
        <v>0</v>
      </c>
      <c r="V81" s="99" t="str">
        <f>IFERROR(VLOOKUP(C81,競技一覧!$T$5:$AA$50,8,TRUE),"")</f>
        <v/>
      </c>
      <c r="X81" s="99">
        <f t="shared" si="23"/>
        <v>76</v>
      </c>
      <c r="Y81" s="99" t="str">
        <f t="shared" si="24"/>
        <v/>
      </c>
      <c r="Z81" s="99" t="str">
        <f t="shared" si="25"/>
        <v/>
      </c>
      <c r="AA81" s="99" t="str">
        <f t="shared" si="26"/>
        <v/>
      </c>
      <c r="AB81" s="99" t="str">
        <f>IF(J81&lt;&gt;"",VLOOKUP(J81,リスト!$H$2:$I$5,2,FALSE),"")</f>
        <v/>
      </c>
      <c r="AC81" s="99" t="str">
        <f t="shared" si="31"/>
        <v/>
      </c>
      <c r="AD81" s="99" t="str">
        <f t="shared" si="30"/>
        <v/>
      </c>
    </row>
    <row r="82" spans="1:30" ht="23.25" customHeight="1" x14ac:dyDescent="0.4">
      <c r="A82" s="256">
        <v>77</v>
      </c>
      <c r="B82" s="258" t="str">
        <f>IF(F82&lt;&gt;"",VLOOKUP(F82,競技一覧!$P$5:$T$50,4,FALSE),"")</f>
        <v/>
      </c>
      <c r="C82" s="138" t="str">
        <f>IF(F82&lt;&gt;"",VLOOKUP(F82,競技一覧!$P$5:$T$50,5,FALSE),"")</f>
        <v/>
      </c>
      <c r="D82" s="138" t="str">
        <f>IF(G82&lt;&gt;"",VLOOKUP(G82,選手登録!$L$7:$O$56,4,FALSE),"")</f>
        <v/>
      </c>
      <c r="E82" s="138" t="str">
        <f>IF(H82&lt;&gt;"",VLOOKUP(H82,馬匹登録!$B$8:$G$54,6,FALSE),"")</f>
        <v/>
      </c>
      <c r="F82" s="254"/>
      <c r="G82" s="147"/>
      <c r="H82" s="147"/>
      <c r="I82" s="81" t="str">
        <f>IF(D82&lt;&gt;"",IF(VLOOKUP(D82,選手登録!$A$7:$H$56,8,FALSE)&lt;&gt;"",VLOOKUP(D82,選手登録!$A$7:$H$56,8,FALSE),団体登録!$B$6),"")</f>
        <v/>
      </c>
      <c r="J82" s="151"/>
      <c r="K82" s="28" t="str">
        <f>IF(AND(C82&lt;&gt;"",J82&lt;&gt;""),VLOOKUP(C82,競技一覧!$T$5:$Z$50,3+VLOOKUP(J82,リスト!$H$2:$I$5,2,FALSE),FALSE),"")</f>
        <v/>
      </c>
      <c r="L82" s="148"/>
      <c r="M82" s="264" t="str">
        <f t="shared" si="27"/>
        <v/>
      </c>
      <c r="N82" t="s">
        <v>205</v>
      </c>
      <c r="O82" s="99" t="str">
        <f t="shared" si="20"/>
        <v/>
      </c>
      <c r="P82" s="99" t="str">
        <f t="shared" si="28"/>
        <v/>
      </c>
      <c r="Q82" s="99" t="str">
        <f>IF(J82="社馬連",IF(IFERROR(VLOOKUP(I82,リスト!$E$10:$G$50,2,FALSE),2)&lt;&gt;0,$Q$1,""),"")</f>
        <v/>
      </c>
      <c r="R82" s="99" t="str">
        <f t="shared" si="29"/>
        <v/>
      </c>
      <c r="S82" s="99" t="str">
        <f>IF(F82&lt;&gt;"",IF(AND(VLOOKUP(C82,競技一覧!$T$5:$U$50,2,TRUE)="Y",OR(VLOOKUP(D82,選手登録!$A$7:$I$56,9,TRUE)="",VLOOKUP(E82,馬匹登録!$A$8:$D$54,4,TRUE)="")),$S$1,""),"")</f>
        <v/>
      </c>
      <c r="T82" s="99" t="str">
        <f t="shared" si="21"/>
        <v/>
      </c>
      <c r="U82" s="99">
        <f t="shared" ref="U82:U84" si="32">IF(T82&lt;&gt;"",COUNTIF($T$6:$T$85,T82),0)</f>
        <v>0</v>
      </c>
      <c r="V82" s="99" t="str">
        <f>IFERROR(VLOOKUP(C82,競技一覧!$T$5:$AA$50,8,TRUE),"")</f>
        <v/>
      </c>
      <c r="X82" s="99">
        <f t="shared" si="23"/>
        <v>77</v>
      </c>
      <c r="Y82" s="99" t="str">
        <f t="shared" si="24"/>
        <v/>
      </c>
      <c r="Z82" s="99" t="str">
        <f t="shared" si="25"/>
        <v/>
      </c>
      <c r="AA82" s="99" t="str">
        <f t="shared" si="26"/>
        <v/>
      </c>
      <c r="AB82" s="99" t="str">
        <f>IF(J82&lt;&gt;"",VLOOKUP(J82,リスト!$H$2:$I$5,2,FALSE),"")</f>
        <v/>
      </c>
      <c r="AC82" s="99" t="str">
        <f t="shared" si="31"/>
        <v/>
      </c>
      <c r="AD82" s="99" t="str">
        <f t="shared" si="30"/>
        <v/>
      </c>
    </row>
    <row r="83" spans="1:30" ht="23.25" customHeight="1" x14ac:dyDescent="0.4">
      <c r="A83" s="256">
        <v>78</v>
      </c>
      <c r="B83" s="258" t="str">
        <f>IF(F83&lt;&gt;"",VLOOKUP(F83,競技一覧!$P$5:$T$50,4,FALSE),"")</f>
        <v/>
      </c>
      <c r="C83" s="138" t="str">
        <f>IF(F83&lt;&gt;"",VLOOKUP(F83,競技一覧!$P$5:$T$50,5,FALSE),"")</f>
        <v/>
      </c>
      <c r="D83" s="138" t="str">
        <f>IF(G83&lt;&gt;"",VLOOKUP(G83,選手登録!$L$7:$O$56,4,FALSE),"")</f>
        <v/>
      </c>
      <c r="E83" s="138" t="str">
        <f>IF(H83&lt;&gt;"",VLOOKUP(H83,馬匹登録!$B$8:$G$54,6,FALSE),"")</f>
        <v/>
      </c>
      <c r="F83" s="254"/>
      <c r="G83" s="147"/>
      <c r="H83" s="147"/>
      <c r="I83" s="81" t="str">
        <f>IF(D83&lt;&gt;"",IF(VLOOKUP(D83,選手登録!$A$7:$H$56,8,FALSE)&lt;&gt;"",VLOOKUP(D83,選手登録!$A$7:$H$56,8,FALSE),団体登録!$B$6),"")</f>
        <v/>
      </c>
      <c r="J83" s="151"/>
      <c r="K83" s="28" t="str">
        <f>IF(AND(C83&lt;&gt;"",J83&lt;&gt;""),VLOOKUP(C83,競技一覧!$T$5:$Z$50,3+VLOOKUP(J83,リスト!$H$2:$I$5,2,FALSE),FALSE),"")</f>
        <v/>
      </c>
      <c r="L83" s="148"/>
      <c r="M83" s="264" t="str">
        <f t="shared" si="27"/>
        <v/>
      </c>
      <c r="N83" t="s">
        <v>205</v>
      </c>
      <c r="O83" s="99" t="str">
        <f t="shared" si="20"/>
        <v/>
      </c>
      <c r="P83" s="99" t="str">
        <f t="shared" si="28"/>
        <v/>
      </c>
      <c r="Q83" s="99" t="str">
        <f>IF(J83="社馬連",IF(IFERROR(VLOOKUP(I83,リスト!$E$10:$G$50,2,FALSE),2)&lt;&gt;0,$Q$1,""),"")</f>
        <v/>
      </c>
      <c r="R83" s="99" t="str">
        <f t="shared" si="29"/>
        <v/>
      </c>
      <c r="S83" s="99" t="str">
        <f>IF(F83&lt;&gt;"",IF(AND(VLOOKUP(C83,競技一覧!$T$5:$U$50,2,TRUE)="Y",OR(VLOOKUP(D83,選手登録!$A$7:$I$56,9,TRUE)="",VLOOKUP(E83,馬匹登録!$A$8:$D$54,4,TRUE)="")),$S$1,""),"")</f>
        <v/>
      </c>
      <c r="T83" s="99" t="str">
        <f t="shared" si="21"/>
        <v/>
      </c>
      <c r="U83" s="99">
        <f t="shared" si="32"/>
        <v>0</v>
      </c>
      <c r="V83" s="99" t="str">
        <f>IFERROR(VLOOKUP(C83,競技一覧!$T$5:$AA$50,8,TRUE),"")</f>
        <v/>
      </c>
      <c r="X83" s="99">
        <f t="shared" si="23"/>
        <v>78</v>
      </c>
      <c r="Y83" s="99" t="str">
        <f t="shared" si="24"/>
        <v/>
      </c>
      <c r="Z83" s="99" t="str">
        <f t="shared" si="25"/>
        <v/>
      </c>
      <c r="AA83" s="99" t="str">
        <f t="shared" si="26"/>
        <v/>
      </c>
      <c r="AB83" s="99" t="str">
        <f>IF(J83&lt;&gt;"",VLOOKUP(J83,リスト!$H$2:$I$5,2,FALSE),"")</f>
        <v/>
      </c>
      <c r="AC83" s="99" t="str">
        <f t="shared" si="31"/>
        <v/>
      </c>
      <c r="AD83" s="99" t="str">
        <f t="shared" si="30"/>
        <v/>
      </c>
    </row>
    <row r="84" spans="1:30" ht="23.25" customHeight="1" x14ac:dyDescent="0.4">
      <c r="A84" s="256">
        <v>79</v>
      </c>
      <c r="B84" s="258" t="str">
        <f>IF(F84&lt;&gt;"",VLOOKUP(F84,競技一覧!$P$5:$T$50,4,FALSE),"")</f>
        <v/>
      </c>
      <c r="C84" s="138" t="str">
        <f>IF(F84&lt;&gt;"",VLOOKUP(F84,競技一覧!$P$5:$T$50,5,FALSE),"")</f>
        <v/>
      </c>
      <c r="D84" s="138" t="str">
        <f>IF(G84&lt;&gt;"",VLOOKUP(G84,選手登録!$L$7:$O$56,4,FALSE),"")</f>
        <v/>
      </c>
      <c r="E84" s="138" t="str">
        <f>IF(H84&lt;&gt;"",VLOOKUP(H84,馬匹登録!$B$8:$G$54,6,FALSE),"")</f>
        <v/>
      </c>
      <c r="F84" s="254"/>
      <c r="G84" s="147"/>
      <c r="H84" s="147"/>
      <c r="I84" s="81" t="str">
        <f>IF(D84&lt;&gt;"",IF(VLOOKUP(D84,選手登録!$A$7:$H$56,8,FALSE)&lt;&gt;"",VLOOKUP(D84,選手登録!$A$7:$H$56,8,FALSE),団体登録!$B$6),"")</f>
        <v/>
      </c>
      <c r="J84" s="151"/>
      <c r="K84" s="28" t="str">
        <f>IF(AND(C84&lt;&gt;"",J84&lt;&gt;""),VLOOKUP(C84,競技一覧!$T$5:$Z$50,3+VLOOKUP(J84,リスト!$H$2:$I$5,2,FALSE),FALSE),"")</f>
        <v/>
      </c>
      <c r="L84" s="148"/>
      <c r="M84" s="264" t="str">
        <f t="shared" si="27"/>
        <v/>
      </c>
      <c r="N84" t="s">
        <v>205</v>
      </c>
      <c r="O84" s="99" t="str">
        <f t="shared" si="20"/>
        <v/>
      </c>
      <c r="P84" s="99" t="str">
        <f t="shared" si="28"/>
        <v/>
      </c>
      <c r="Q84" s="99" t="str">
        <f>IF(J84="社馬連",IF(IFERROR(VLOOKUP(I84,リスト!$E$10:$G$50,2,FALSE),2)&lt;&gt;0,$Q$1,""),"")</f>
        <v/>
      </c>
      <c r="R84" s="99" t="str">
        <f t="shared" si="29"/>
        <v/>
      </c>
      <c r="S84" s="99" t="str">
        <f>IF(F84&lt;&gt;"",IF(AND(VLOOKUP(C84,競技一覧!$T$5:$U$50,2,TRUE)="Y",OR(VLOOKUP(D84,選手登録!$A$7:$I$56,9,TRUE)="",VLOOKUP(E84,馬匹登録!$A$8:$D$54,4,TRUE)="")),$S$1,""),"")</f>
        <v/>
      </c>
      <c r="T84" s="99" t="str">
        <f t="shared" si="21"/>
        <v/>
      </c>
      <c r="U84" s="99">
        <f t="shared" si="32"/>
        <v>0</v>
      </c>
      <c r="V84" s="99" t="str">
        <f>IFERROR(VLOOKUP(C84,競技一覧!$T$5:$AA$50,8,TRUE),"")</f>
        <v/>
      </c>
      <c r="X84" s="99">
        <f t="shared" si="23"/>
        <v>79</v>
      </c>
      <c r="Y84" s="99" t="str">
        <f t="shared" si="24"/>
        <v/>
      </c>
      <c r="Z84" s="99" t="str">
        <f t="shared" si="25"/>
        <v/>
      </c>
      <c r="AA84" s="99" t="str">
        <f t="shared" si="26"/>
        <v/>
      </c>
      <c r="AB84" s="99" t="str">
        <f>IF(J84&lt;&gt;"",VLOOKUP(J84,リスト!$H$2:$I$5,2,FALSE),"")</f>
        <v/>
      </c>
      <c r="AC84" s="99" t="str">
        <f t="shared" si="31"/>
        <v/>
      </c>
      <c r="AD84" s="99" t="str">
        <f t="shared" si="30"/>
        <v/>
      </c>
    </row>
    <row r="85" spans="1:30" ht="23.25" customHeight="1" thickBot="1" x14ac:dyDescent="0.45">
      <c r="A85" s="20">
        <v>80</v>
      </c>
      <c r="B85" s="51" t="str">
        <f>IF(F85&lt;&gt;"",VLOOKUP(F85,競技一覧!$P$5:$T$50,4,FALSE),"")</f>
        <v/>
      </c>
      <c r="C85" s="138" t="str">
        <f>IF(F85&lt;&gt;"",VLOOKUP(F85,競技一覧!$P$5:$T$50,5,FALSE),"")</f>
        <v/>
      </c>
      <c r="D85" s="138" t="str">
        <f>IF(G85&lt;&gt;"",VLOOKUP(G85,選手登録!$L$7:$O$56,4,FALSE),"")</f>
        <v/>
      </c>
      <c r="E85" s="138" t="str">
        <f>IF(H85&lt;&gt;"",VLOOKUP(H85,馬匹登録!$B$8:$G$54,6,FALSE),"")</f>
        <v/>
      </c>
      <c r="F85" s="254"/>
      <c r="G85" s="147"/>
      <c r="H85" s="149"/>
      <c r="I85" s="82" t="str">
        <f>IF(D85&lt;&gt;"",IF(VLOOKUP(D85,選手登録!$A$7:$H$56,8,FALSE)&lt;&gt;"",VLOOKUP(D85,選手登録!$A$7:$H$56,8,FALSE),団体登録!$B$6),"")</f>
        <v/>
      </c>
      <c r="J85" s="152"/>
      <c r="K85" s="50" t="str">
        <f>IF(AND(C85&lt;&gt;"",J85&lt;&gt;""),VLOOKUP(C85,競技一覧!$T$5:$Z$50,3+VLOOKUP(J85,リスト!$H$2:$I$5,2,FALSE),FALSE),"")</f>
        <v/>
      </c>
      <c r="L85" s="150"/>
      <c r="M85" s="265" t="str">
        <f t="shared" si="27"/>
        <v/>
      </c>
      <c r="N85" t="s">
        <v>205</v>
      </c>
      <c r="O85" s="99" t="str">
        <f t="shared" si="20"/>
        <v/>
      </c>
      <c r="P85" s="99" t="str">
        <f t="shared" si="28"/>
        <v/>
      </c>
      <c r="Q85" s="99" t="str">
        <f>IF(J85="社馬連",IF(IFERROR(VLOOKUP(I85,リスト!$E$10:$G$50,2,FALSE),2)&lt;&gt;0,$Q$1,""),"")</f>
        <v/>
      </c>
      <c r="R85" s="99" t="str">
        <f t="shared" si="29"/>
        <v/>
      </c>
      <c r="S85" s="99" t="str">
        <f>IF(F85&lt;&gt;"",IF(AND(VLOOKUP(C85,競技一覧!$T$5:$U$50,2,TRUE)="Y",OR(VLOOKUP(D85,選手登録!$A$7:$I$56,9,TRUE)="",VLOOKUP(E85,馬匹登録!$A$8:$D$54,4,TRUE)="")),$S$1,""),"")</f>
        <v/>
      </c>
      <c r="T85" s="99" t="str">
        <f t="shared" si="21"/>
        <v/>
      </c>
      <c r="U85" s="99">
        <f>IF(T85&lt;&gt;"",COUNTIF($T$6:$T$85,T85),0)</f>
        <v>0</v>
      </c>
      <c r="V85" s="99" t="str">
        <f>IFERROR(VLOOKUP(C85,競技一覧!$T$5:$AA$50,8,TRUE),"")</f>
        <v/>
      </c>
      <c r="X85" s="99">
        <f t="shared" si="23"/>
        <v>80</v>
      </c>
      <c r="Y85" s="99" t="str">
        <f t="shared" si="24"/>
        <v/>
      </c>
      <c r="Z85" s="99" t="str">
        <f t="shared" si="25"/>
        <v/>
      </c>
      <c r="AA85" s="99" t="str">
        <f t="shared" si="26"/>
        <v/>
      </c>
      <c r="AB85" s="99" t="str">
        <f>IF(J85&lt;&gt;"",VLOOKUP(J85,リスト!$H$2:$I$5,2,FALSE),"")</f>
        <v/>
      </c>
      <c r="AC85" s="99" t="str">
        <f t="shared" si="31"/>
        <v/>
      </c>
      <c r="AD85" s="99" t="str">
        <f t="shared" si="30"/>
        <v/>
      </c>
    </row>
    <row r="86" spans="1:30" x14ac:dyDescent="0.4">
      <c r="H86" s="196"/>
    </row>
  </sheetData>
  <sheetProtection algorithmName="SHA-512" hashValue="cVoVjFirDaP+ke1XvU0V/7Qy4Lro9a54vvqTNQ1c8klQ+ujBvZuqzwVCkKlRgZ+Rkacv09VEys3pIdnK4Cw4JA==" saltValue="PjZRRGAb5v+i+/gKEab3sw==" spinCount="100000" sheet="1" objects="1" scenarios="1"/>
  <mergeCells count="3">
    <mergeCell ref="A1:L1"/>
    <mergeCell ref="A2:L2"/>
    <mergeCell ref="A3:F3"/>
  </mergeCells>
  <phoneticPr fontId="4"/>
  <dataValidations count="1">
    <dataValidation type="list" allowBlank="1" showInputMessage="1" showErrorMessage="1" sqref="J6:J85" xr:uid="{216F278D-E9B0-4C61-9AA8-8A3FFA726857}">
      <formula1>INDIRECT(V6)</formula1>
    </dataValidation>
  </dataValidations>
  <printOptions horizontalCentered="1"/>
  <pageMargins left="0.23622047244094491" right="0.23622047244094491" top="0.39370078740157483" bottom="0.39370078740157483" header="0.19685039370078741" footer="0.19685039370078741"/>
  <pageSetup paperSize="9" scale="73" fitToHeight="0" orientation="landscape" horizontalDpi="1200" verticalDpi="1200" r:id="rId1"/>
  <headerFooter>
    <oddFooter>&amp;P / &amp;N ページ</oddFooter>
  </headerFooter>
  <rowBreaks count="2" manualBreakCount="2">
    <brk id="32" max="11" man="1"/>
    <brk id="59" max="1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645EFB9A-2AA1-4438-88C3-5627B8FB097D}">
          <x14:formula1>
            <xm:f>INDIRECT(選手登録!$AG$3)</xm:f>
          </x14:formula1>
          <xm:sqref>G6:G85</xm:sqref>
        </x14:dataValidation>
        <x14:dataValidation type="list" allowBlank="1" showInputMessage="1" showErrorMessage="1" xr:uid="{2BDD494A-67FC-40B0-AA78-0B5D6E9DC5CE}">
          <x14:formula1>
            <xm:f>INDIRECT(馬匹登録!$P$6)</xm:f>
          </x14:formula1>
          <xm:sqref>H6:H86</xm:sqref>
        </x14:dataValidation>
        <x14:dataValidation type="list" allowBlank="1" showInputMessage="1" showErrorMessage="1" xr:uid="{097EB759-7155-4D14-AC38-4C50D47975B5}">
          <x14:formula1>
            <xm:f>競技一覧!$P$5:$P$50</xm:f>
          </x14:formula1>
          <xm:sqref>F6:F85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510F-AEAA-4F9B-9B6B-6A8CA136F277}">
  <sheetPr codeName="Sheet9">
    <tabColor rgb="FFFFC000"/>
    <pageSetUpPr fitToPage="1"/>
  </sheetPr>
  <dimension ref="A1:BK55"/>
  <sheetViews>
    <sheetView view="pageBreakPreview" zoomScaleNormal="100" zoomScaleSheetLayoutView="100" workbookViewId="0">
      <selection activeCell="A3" sqref="A3:E3"/>
    </sheetView>
  </sheetViews>
  <sheetFormatPr defaultRowHeight="18.75" x14ac:dyDescent="0.4"/>
  <cols>
    <col min="1" max="1" width="4" customWidth="1"/>
    <col min="2" max="2" width="9" bestFit="1" customWidth="1"/>
    <col min="3" max="3" width="6.625" bestFit="1" customWidth="1"/>
    <col min="4" max="4" width="5" bestFit="1" customWidth="1"/>
    <col min="5" max="5" width="25.5" customWidth="1"/>
    <col min="6" max="6" width="13.875" bestFit="1" customWidth="1"/>
    <col min="7" max="7" width="7.625" customWidth="1"/>
    <col min="8" max="8" width="7.875" customWidth="1"/>
    <col min="9" max="9" width="12" customWidth="1"/>
    <col min="10" max="10" width="20.25" customWidth="1"/>
    <col min="11" max="11" width="21.875" customWidth="1"/>
    <col min="12" max="12" width="8" bestFit="1" customWidth="1"/>
    <col min="13" max="13" width="7.375" bestFit="1" customWidth="1"/>
    <col min="14" max="14" width="7.5" customWidth="1"/>
    <col min="15" max="15" width="8" customWidth="1"/>
    <col min="16" max="16" width="21.875" customWidth="1"/>
    <col min="18" max="18" width="5.25" hidden="1" customWidth="1"/>
    <col min="19" max="19" width="10.625" hidden="1" customWidth="1"/>
    <col min="20" max="20" width="11.625" hidden="1" customWidth="1"/>
    <col min="21" max="21" width="16" hidden="1" customWidth="1"/>
    <col min="22" max="22" width="5.25" hidden="1" customWidth="1"/>
    <col min="23" max="23" width="7.125" hidden="1" customWidth="1"/>
    <col min="24" max="33" width="13.625" hidden="1" customWidth="1"/>
    <col min="34" max="34" width="8.375" hidden="1" customWidth="1"/>
    <col min="35" max="35" width="7.875" hidden="1" customWidth="1"/>
    <col min="36" max="36" width="6.125" hidden="1" customWidth="1"/>
    <col min="37" max="39" width="5.25" hidden="1" customWidth="1"/>
    <col min="40" max="56" width="9" hidden="1" customWidth="1"/>
    <col min="57" max="57" width="5.125" hidden="1" customWidth="1"/>
    <col min="58" max="58" width="9" hidden="1" customWidth="1"/>
    <col min="59" max="60" width="5.125" hidden="1" customWidth="1"/>
    <col min="61" max="63" width="9" hidden="1" customWidth="1"/>
  </cols>
  <sheetData>
    <row r="1" spans="1:62" ht="24" x14ac:dyDescent="0.4">
      <c r="A1" s="274" t="str">
        <f>お知らせ・記入要領!$A$1</f>
        <v>第40回 キャロットステークス 申込書</v>
      </c>
      <c r="B1" s="274"/>
      <c r="C1" s="274"/>
      <c r="D1" s="274"/>
      <c r="E1" s="274"/>
      <c r="F1" s="274"/>
      <c r="G1" s="274"/>
      <c r="H1" s="274"/>
      <c r="I1" s="274"/>
      <c r="J1" s="274"/>
      <c r="K1" s="274"/>
      <c r="L1" s="274"/>
      <c r="M1" s="274"/>
      <c r="N1" s="274"/>
      <c r="O1" s="274"/>
      <c r="P1" s="275"/>
    </row>
    <row r="2" spans="1:62" x14ac:dyDescent="0.4">
      <c r="A2" s="275" t="s">
        <v>376</v>
      </c>
      <c r="B2" s="275"/>
      <c r="C2" s="275"/>
      <c r="D2" s="275"/>
      <c r="E2" s="275"/>
      <c r="F2" s="275"/>
      <c r="G2" s="275"/>
      <c r="H2" s="275"/>
      <c r="I2" s="275"/>
      <c r="J2" s="275"/>
      <c r="K2" s="275"/>
      <c r="L2" s="275"/>
      <c r="M2" s="275"/>
      <c r="N2" s="275"/>
      <c r="O2" s="275"/>
      <c r="P2" s="275"/>
      <c r="Y2" s="71"/>
    </row>
    <row r="3" spans="1:62" ht="24" customHeight="1" x14ac:dyDescent="0.4">
      <c r="A3" s="394" t="str">
        <f>"団体名：" &amp; 団体登録!B6</f>
        <v>団体名：</v>
      </c>
      <c r="B3" s="394"/>
      <c r="C3" s="394"/>
      <c r="D3" s="394"/>
      <c r="E3" s="395"/>
      <c r="F3" s="34"/>
      <c r="H3" s="34"/>
      <c r="I3" s="34"/>
      <c r="L3" s="231"/>
      <c r="M3" s="231"/>
      <c r="N3" s="232"/>
      <c r="O3" s="228" t="s">
        <v>142</v>
      </c>
      <c r="P3" s="229"/>
      <c r="Y3" s="71"/>
    </row>
    <row r="4" spans="1:62" ht="6.75" customHeight="1" x14ac:dyDescent="0.4"/>
    <row r="5" spans="1:62" ht="18.75" customHeight="1" x14ac:dyDescent="0.4">
      <c r="A5" t="s">
        <v>281</v>
      </c>
      <c r="P5" s="271" t="str">
        <f>IF(AND(P3&lt;&gt;"",P3&gt;設定!B10), "※ 変更受付期間後の変更は、打ち合わせ会で受け付けます。", "")</f>
        <v/>
      </c>
      <c r="S5" s="266"/>
    </row>
    <row r="6" spans="1:62" ht="17.25" customHeight="1" x14ac:dyDescent="0.4">
      <c r="A6" t="s">
        <v>361</v>
      </c>
      <c r="X6" t="s">
        <v>324</v>
      </c>
    </row>
    <row r="7" spans="1:62" s="71" customFormat="1" x14ac:dyDescent="0.4">
      <c r="A7" s="71" t="s">
        <v>248</v>
      </c>
      <c r="S7" s="268"/>
      <c r="X7" s="170" t="s">
        <v>253</v>
      </c>
      <c r="Y7" s="161" t="s">
        <v>445</v>
      </c>
      <c r="Z7" s="162"/>
      <c r="AA7" s="173" t="s">
        <v>256</v>
      </c>
      <c r="AB7" s="167" t="s">
        <v>251</v>
      </c>
      <c r="AC7" s="162"/>
      <c r="AD7" s="170" t="s">
        <v>287</v>
      </c>
      <c r="AE7" s="161" t="s">
        <v>288</v>
      </c>
      <c r="AF7" s="162"/>
    </row>
    <row r="8" spans="1:62" s="71" customFormat="1" ht="19.5" x14ac:dyDescent="0.4">
      <c r="A8" s="71" t="str">
        <f>"※2 エントリー締め切り後の変更は1件につき、"&amp;設定!B14&amp;"円の手数料がかかります。"</f>
        <v>※2 エントリー締め切り後の変更は1件につき、0円の手数料がかかります。</v>
      </c>
      <c r="L8" s="260" t="s">
        <v>420</v>
      </c>
      <c r="O8" s="104">
        <f>IF(SUM($M15:$M54)&lt;0,0,SUM($M15:$M54))</f>
        <v>0</v>
      </c>
      <c r="S8" s="268"/>
      <c r="X8" s="171" t="s">
        <v>254</v>
      </c>
      <c r="Y8" s="168" t="str">
        <f>ADDRESS(ROW(選手登録!$AH$7),COLUMN(選手登録!$AH$7),1,1,"選手登録") &amp;":"&amp;ADDRESS(ROW(選手登録!$AH$7)+選手登録!$AH$6,COLUMN(選手登録!$AH$7),1,1)</f>
        <v>選手登録!$AH$7:$AH$7</v>
      </c>
      <c r="Z8" s="164"/>
      <c r="AA8" s="83" t="s">
        <v>257</v>
      </c>
      <c r="AB8" s="168" t="s">
        <v>252</v>
      </c>
      <c r="AC8" s="164"/>
      <c r="AD8" s="171"/>
      <c r="AE8" s="163"/>
      <c r="AF8" s="164"/>
    </row>
    <row r="9" spans="1:62" s="71" customFormat="1" ht="19.5" x14ac:dyDescent="0.4">
      <c r="A9" s="71" t="s">
        <v>243</v>
      </c>
      <c r="L9" s="260" t="s">
        <v>421</v>
      </c>
      <c r="O9" s="104">
        <f>SUM($O15:$O54)</f>
        <v>0</v>
      </c>
      <c r="X9" s="171" t="s">
        <v>255</v>
      </c>
      <c r="Y9" s="168" t="str">
        <f>ADDRESS(ROW(馬匹登録!$P$8),COLUMN(馬匹登録!$P$8),1,1,"馬匹登録") &amp;":"&amp;ADDRESS(ROW(馬匹登録!$P$8)+馬匹登録!$P$7,COLUMN(馬匹登録!$P$8),1,1)</f>
        <v>馬匹登録!$P$8:$P$8</v>
      </c>
      <c r="Z9" s="164"/>
      <c r="AA9" s="174" t="s">
        <v>267</v>
      </c>
      <c r="AB9" s="168" t="s">
        <v>268</v>
      </c>
      <c r="AC9" s="164"/>
      <c r="AD9" s="171"/>
      <c r="AE9" s="163"/>
      <c r="AF9" s="164"/>
    </row>
    <row r="10" spans="1:62" s="71" customFormat="1" ht="19.5" x14ac:dyDescent="0.4">
      <c r="A10" s="71" t="s">
        <v>244</v>
      </c>
      <c r="L10" s="156" t="s">
        <v>278</v>
      </c>
      <c r="M10" s="156"/>
      <c r="N10" s="156"/>
      <c r="O10" s="156">
        <f>SUM(O8:O9)</f>
        <v>0</v>
      </c>
      <c r="P10" s="230"/>
      <c r="X10" s="172" t="s">
        <v>250</v>
      </c>
      <c r="Y10" s="165" t="s">
        <v>279</v>
      </c>
      <c r="Z10" s="166"/>
      <c r="AA10" s="175" t="s">
        <v>274</v>
      </c>
      <c r="AB10" s="169" t="s">
        <v>275</v>
      </c>
      <c r="AC10" s="166"/>
      <c r="AD10" s="172"/>
      <c r="AE10" s="165"/>
      <c r="AF10" s="166"/>
    </row>
    <row r="11" spans="1:62" ht="21.75" customHeight="1" thickBot="1" x14ac:dyDescent="0.45">
      <c r="A11" t="s">
        <v>317</v>
      </c>
    </row>
    <row r="12" spans="1:62" s="101" customFormat="1" ht="24" customHeight="1" x14ac:dyDescent="0.4">
      <c r="A12" s="303"/>
      <c r="B12" s="397" t="s">
        <v>238</v>
      </c>
      <c r="C12" s="302"/>
      <c r="D12" s="305" t="s">
        <v>247</v>
      </c>
      <c r="E12" s="302" t="s">
        <v>209</v>
      </c>
      <c r="F12" s="302" t="s">
        <v>328</v>
      </c>
      <c r="G12" s="302"/>
      <c r="H12" s="302"/>
      <c r="I12" s="302"/>
      <c r="J12" s="302"/>
      <c r="K12" s="134" t="s">
        <v>330</v>
      </c>
      <c r="L12" s="301" t="s">
        <v>236</v>
      </c>
      <c r="M12" s="302" t="s">
        <v>180</v>
      </c>
      <c r="N12" s="302" t="s">
        <v>422</v>
      </c>
      <c r="O12" s="302" t="s">
        <v>234</v>
      </c>
      <c r="P12" s="390" t="s">
        <v>249</v>
      </c>
      <c r="R12" s="101" t="s">
        <v>323</v>
      </c>
      <c r="AJ12" s="101" t="s">
        <v>322</v>
      </c>
      <c r="AK12" s="122"/>
      <c r="AL12" s="122"/>
      <c r="AM12" s="122"/>
      <c r="AN12" s="122"/>
    </row>
    <row r="13" spans="1:62" s="101" customFormat="1" x14ac:dyDescent="0.4">
      <c r="A13" s="396"/>
      <c r="B13" s="294"/>
      <c r="C13" s="388"/>
      <c r="D13" s="389"/>
      <c r="E13" s="388"/>
      <c r="F13" s="154" t="s">
        <v>329</v>
      </c>
      <c r="G13" s="154" t="s">
        <v>291</v>
      </c>
      <c r="H13" s="154" t="s">
        <v>292</v>
      </c>
      <c r="I13" s="154" t="s">
        <v>70</v>
      </c>
      <c r="J13" s="154" t="s">
        <v>269</v>
      </c>
      <c r="K13" s="155" t="s">
        <v>48</v>
      </c>
      <c r="L13" s="393"/>
      <c r="M13" s="388"/>
      <c r="N13" s="388"/>
      <c r="O13" s="388"/>
      <c r="P13" s="391"/>
      <c r="R13" s="253"/>
      <c r="S13" s="386" t="s">
        <v>264</v>
      </c>
      <c r="T13" s="386" t="s">
        <v>259</v>
      </c>
      <c r="U13" s="387" t="s">
        <v>258</v>
      </c>
      <c r="V13" s="386" t="s">
        <v>277</v>
      </c>
      <c r="W13" s="386" t="s">
        <v>260</v>
      </c>
      <c r="X13" s="386" t="s">
        <v>262</v>
      </c>
      <c r="Y13" s="386" t="s">
        <v>263</v>
      </c>
      <c r="Z13" s="386" t="s">
        <v>265</v>
      </c>
      <c r="AA13" s="387" t="s">
        <v>267</v>
      </c>
      <c r="AB13" s="386" t="s">
        <v>266</v>
      </c>
      <c r="AC13" s="387" t="s">
        <v>269</v>
      </c>
      <c r="AD13" s="386" t="s">
        <v>270</v>
      </c>
      <c r="AE13" s="387" t="s">
        <v>271</v>
      </c>
      <c r="AF13" s="386" t="s">
        <v>272</v>
      </c>
      <c r="AG13" s="387" t="s">
        <v>273</v>
      </c>
      <c r="AH13" s="253"/>
      <c r="AJ13" s="386" t="s">
        <v>282</v>
      </c>
      <c r="AK13" s="386" t="s">
        <v>208</v>
      </c>
      <c r="AL13" s="386" t="s">
        <v>60</v>
      </c>
      <c r="AM13" s="386" t="s">
        <v>61</v>
      </c>
      <c r="AN13" s="386" t="s">
        <v>236</v>
      </c>
      <c r="AO13" s="75" t="s">
        <v>283</v>
      </c>
      <c r="AP13" s="75"/>
      <c r="AQ13" s="75" t="s">
        <v>285</v>
      </c>
      <c r="AR13" s="75" t="s">
        <v>286</v>
      </c>
      <c r="AS13" s="75"/>
      <c r="AT13" s="75"/>
      <c r="AU13" s="75"/>
      <c r="AV13" s="75"/>
      <c r="AW13" s="75"/>
      <c r="AX13" s="75"/>
      <c r="AZ13" s="75" t="s">
        <v>283</v>
      </c>
      <c r="BA13" s="75"/>
      <c r="BB13" s="75"/>
      <c r="BC13" s="75"/>
      <c r="BD13" s="75"/>
      <c r="BF13" s="75" t="s">
        <v>283</v>
      </c>
      <c r="BG13" s="75"/>
      <c r="BH13" s="75"/>
      <c r="BI13" s="75"/>
      <c r="BJ13" s="75"/>
    </row>
    <row r="14" spans="1:62" s="101" customFormat="1" ht="20.25" customHeight="1" x14ac:dyDescent="0.4">
      <c r="A14" s="304"/>
      <c r="B14" s="398"/>
      <c r="C14" s="307"/>
      <c r="D14" s="306"/>
      <c r="E14" s="307"/>
      <c r="F14" s="135" t="s">
        <v>379</v>
      </c>
      <c r="G14" s="184" t="s">
        <v>39</v>
      </c>
      <c r="H14" s="184" t="s">
        <v>40</v>
      </c>
      <c r="I14" s="224" t="s">
        <v>359</v>
      </c>
      <c r="J14" s="184" t="s">
        <v>378</v>
      </c>
      <c r="K14" s="184" t="s">
        <v>45</v>
      </c>
      <c r="L14" s="307"/>
      <c r="M14" s="307"/>
      <c r="N14" s="307"/>
      <c r="O14" s="307"/>
      <c r="P14" s="392"/>
      <c r="R14" s="253" t="s">
        <v>246</v>
      </c>
      <c r="S14" s="387"/>
      <c r="T14" s="387"/>
      <c r="U14" s="387"/>
      <c r="V14" s="387"/>
      <c r="W14" s="387"/>
      <c r="X14" s="387"/>
      <c r="Y14" s="387"/>
      <c r="Z14" s="387"/>
      <c r="AA14" s="387"/>
      <c r="AB14" s="387"/>
      <c r="AC14" s="387"/>
      <c r="AD14" s="387"/>
      <c r="AE14" s="387"/>
      <c r="AF14" s="387"/>
      <c r="AG14" s="387"/>
      <c r="AH14" s="251" t="s">
        <v>261</v>
      </c>
      <c r="AI14" s="122"/>
      <c r="AJ14" s="387"/>
      <c r="AK14" s="386"/>
      <c r="AL14" s="386"/>
      <c r="AM14" s="386"/>
      <c r="AN14" s="386"/>
      <c r="AO14" s="75" t="s">
        <v>320</v>
      </c>
      <c r="AP14" s="75" t="s">
        <v>321</v>
      </c>
      <c r="AQ14" s="75" t="s">
        <v>318</v>
      </c>
      <c r="AR14" s="75" t="s">
        <v>319</v>
      </c>
      <c r="AS14" s="75" t="s">
        <v>284</v>
      </c>
      <c r="AT14" s="75" t="s">
        <v>297</v>
      </c>
      <c r="AU14" s="75" t="s">
        <v>423</v>
      </c>
      <c r="AV14" s="75" t="s">
        <v>280</v>
      </c>
      <c r="AW14" s="75" t="s">
        <v>424</v>
      </c>
      <c r="AX14" s="75" t="s">
        <v>298</v>
      </c>
      <c r="AZ14" s="75" t="s">
        <v>299</v>
      </c>
      <c r="BA14" s="75"/>
      <c r="BB14" s="75" t="s">
        <v>300</v>
      </c>
      <c r="BC14" s="75">
        <f>MAX(AZ15:AZ54)</f>
        <v>0</v>
      </c>
      <c r="BD14" s="75" t="s">
        <v>300</v>
      </c>
      <c r="BF14" s="75" t="s">
        <v>344</v>
      </c>
      <c r="BG14" s="75" t="s">
        <v>301</v>
      </c>
      <c r="BH14" s="75"/>
      <c r="BI14" s="75">
        <f>MAX(BF15:BF54)</f>
        <v>0</v>
      </c>
      <c r="BJ14" s="75"/>
    </row>
    <row r="15" spans="1:62" ht="22.5" customHeight="1" x14ac:dyDescent="0.4">
      <c r="A15" s="380">
        <v>1</v>
      </c>
      <c r="B15" s="382"/>
      <c r="C15" s="237" t="str">
        <f>IF(OR(R15=2),"変更前","")</f>
        <v/>
      </c>
      <c r="D15" s="141"/>
      <c r="E15" s="240"/>
      <c r="F15" s="240"/>
      <c r="G15" s="240"/>
      <c r="H15" s="240"/>
      <c r="I15" s="240"/>
      <c r="J15" s="240"/>
      <c r="K15" s="240"/>
      <c r="L15" s="243"/>
      <c r="M15" s="227" t="str">
        <f>IF(AND(V15&lt;&gt;"",L15&lt;&gt;"",OR(R15=1,R15=2,R15=3)),IFERROR(VLOOKUP(V15,競技一覧!$T$5:$Z$50,3+VLOOKUP(L15,リスト!$H$2:$I$5,2,FALSE),FALSE) * IF(R15=1,1,-1),""),IF(R15=5,設定!$B$13,IF(R15=6,-1*設定!$B$13,"")))</f>
        <v/>
      </c>
      <c r="N15" s="377" t="str">
        <f>IF($B15&lt;&gt;"",IFERROR(VALUE(M16),0)+IFERROR(VALUE(M15),0),"")</f>
        <v/>
      </c>
      <c r="O15" s="9" t="str">
        <f>IF(OR($R15=1,$R15=2,$R15=3),設定!$B$14,IF($B15&lt;&gt;"",0,""))</f>
        <v/>
      </c>
      <c r="P15" s="233"/>
      <c r="R15" s="99" t="str">
        <f>IF(B15&lt;&gt;"",VLOOKUP(B15,リスト!$N$2:$O$9,2,FALSE),"")</f>
        <v/>
      </c>
      <c r="S15" s="99" t="str">
        <f>IF(OR(R15=2,R15=3),$AB$7,$Y$10)</f>
        <v>W10</v>
      </c>
      <c r="T15" s="99" t="str">
        <f ca="1">IF(OR(R15=2,R15=3),CELL("address",U15),IF(R15=1,$Y$7,$Y$10))</f>
        <v>W10</v>
      </c>
      <c r="U15" s="99" t="str">
        <f>IF(AND(OR(R15=2, R15=3),D15&lt;&gt;"",D15&lt;&gt;"-"),VLOOKUP(D15,エントリー!$A$6:$K$85,6,TRUE),"-")</f>
        <v>-</v>
      </c>
      <c r="V15" s="99" t="str">
        <f>IF(AND(E15&lt;&gt;"",E15&lt;&gt;"-"),VLOOKUP(E15,競技一覧!$P$5:$T$50,5,FALSE),"")</f>
        <v/>
      </c>
      <c r="W15" s="99" t="str">
        <f ca="1">IF(OR(R15=2,R15=3),CELL("address",X15),IF(OR(R15=4),CELL("address",Y15),IF(R15=1,$Y$8,$Y$10)))</f>
        <v>W10</v>
      </c>
      <c r="X15" s="99" t="str">
        <f>IF(AND(D15&lt;&gt;"",D15&lt;&gt;"-"),VLOOKUP(D15,エントリー!$A$6:$K$85,7,TRUE),"-")</f>
        <v>-</v>
      </c>
      <c r="Y15" s="99" t="str">
        <f>IF(R15=4,G15 &amp; " " &amp; H15,"")</f>
        <v/>
      </c>
      <c r="Z15" s="99" t="str">
        <f ca="1">IF(R15=4,$AB$9,IF(OR(R15=1,R15=2,R15=3),CELL("address",AA15),$Y$10))</f>
        <v>W10</v>
      </c>
      <c r="AA15" s="99" t="str">
        <f>IF(AND(F15&lt;&gt;"",F15&lt;&gt;"-",OR(R15=1,R15=2,R15=3)),VLOOKUP(F15,選手登録!$L$7:$M$31,2,FALSE),"-")</f>
        <v>-</v>
      </c>
      <c r="AB15" s="99" t="str">
        <f ca="1">IF(OR(R15=1,R15=2,R15=3),CELL("address",AC15),IF(OR(R15=4),$AB$10,$Y$10))</f>
        <v>W10</v>
      </c>
      <c r="AC15" s="99" t="str">
        <f>IF(AND(F15&lt;&gt;"",F15&lt;&gt;"-",OR(R15=1,R15=2,R15=3)),VLOOKUP(F15,選手登録!$L$7:$N$31,3,FALSE),"-")</f>
        <v>-</v>
      </c>
      <c r="AD15" s="99" t="str">
        <f ca="1">IF(OR(R15=2,R15=3),CELL("address",AE15),IF(OR(R15=1,R15=6),$Y$9,IF(R15=5,"",$Y$10)))</f>
        <v>W10</v>
      </c>
      <c r="AE15" s="99" t="str">
        <f>IF(AND(D15&lt;&gt;"",D15&lt;&gt;"-",OR(R15=2,R15=3)),VLOOKUP(D15,エントリー!$A$6:$K$85,8,TRUE),$Y$10)</f>
        <v>W10</v>
      </c>
      <c r="AF15" s="99" t="str">
        <f ca="1">IF(OR(R15=2,R15=3),CELL("address",AG15),IF(R15=1,VLOOKUP(V15,競技一覧!$T$5:$AA$50,8,TRUE),$Y$10))</f>
        <v>W10</v>
      </c>
      <c r="AG15" s="99" t="str">
        <f>IF(AND(OR(R15=2,R15=3),D15&lt;&gt;"",D15&lt;&gt;"-"),VLOOKUP(D15,エントリー!$A$6:$J$85,10,TRUE),$X$10)</f>
        <v>-</v>
      </c>
      <c r="AH15" s="99" t="str">
        <f>IF(F15&lt;&gt;"",F15,IF(Y15&lt;&gt;"",Y15,""))</f>
        <v/>
      </c>
      <c r="AJ15" s="99" t="str">
        <f>R15</f>
        <v/>
      </c>
      <c r="AK15" s="99" t="str">
        <f>V15</f>
        <v/>
      </c>
      <c r="AL15" s="99" t="str">
        <f>IF(F15&lt;&gt;"",IFERROR(VLOOKUP(AH15,選手登録!$L$7:$O$56,4,FALSE),""),"")</f>
        <v/>
      </c>
      <c r="AM15" s="99" t="str">
        <f>IF(K15&lt;&gt;"",IFERROR(VLOOKUP(K15,馬匹登録!$B$8:$G$54,6,FALSE),""),"")</f>
        <v/>
      </c>
      <c r="AN15" s="99" t="str">
        <f>IFERROR(VLOOKUP(L15,リスト!$H$2:$I$5,2,FALSE),"")</f>
        <v/>
      </c>
      <c r="AO15" s="99" t="str">
        <f>IF($R15=4,G15,"")</f>
        <v/>
      </c>
      <c r="AP15" s="99" t="str">
        <f>IF($R15=4,H15,"")</f>
        <v/>
      </c>
      <c r="AQ15" s="99" t="str">
        <f>IF($R15=4,I15,"")</f>
        <v/>
      </c>
      <c r="AR15" s="99" t="str">
        <f>IF(OR($R15=4,$R15=5),J15,"")</f>
        <v/>
      </c>
      <c r="AS15" s="99" t="str">
        <f>IF($R15=5,K15,"")</f>
        <v/>
      </c>
      <c r="AT15" s="99" t="str">
        <f>M15</f>
        <v/>
      </c>
      <c r="AU15" s="99" t="str">
        <f>N15</f>
        <v/>
      </c>
      <c r="AV15" s="99" t="str">
        <f>O15</f>
        <v/>
      </c>
      <c r="AW15" s="99" t="str">
        <f>IF(P15&lt;&gt;"",P15,"")</f>
        <v/>
      </c>
      <c r="AX15" s="99">
        <f>O8</f>
        <v>0</v>
      </c>
      <c r="AZ15" s="99">
        <f>IF(Y15&lt;&gt;"",1,0)</f>
        <v>0</v>
      </c>
      <c r="BA15" s="99" t="str">
        <f>IF(Y15&lt;&gt;"",Y15,"")</f>
        <v/>
      </c>
      <c r="BB15" s="99">
        <f>A15</f>
        <v>1</v>
      </c>
      <c r="BC15" s="99" t="str">
        <f>IFERROR(VLOOKUP(ROW(BC15)-ROW($BC$15)+1,$AZ$15:$BA$54,2,FALSE),"")</f>
        <v/>
      </c>
      <c r="BD15" s="99" t="str">
        <f>IFERROR(VLOOKUP(ROW(BD15)-ROW($BC$15)+1,$AZ$15:$BB$54,3,FALSE),"")</f>
        <v/>
      </c>
      <c r="BF15" s="99">
        <f>IF(BG15&lt;&gt;"",1,0)</f>
        <v>0</v>
      </c>
      <c r="BG15" s="99" t="str">
        <f>IF(AND($R15=5,$K15&lt;&gt;""),$K15,"")</f>
        <v/>
      </c>
      <c r="BH15" s="99">
        <f>A15</f>
        <v>1</v>
      </c>
      <c r="BI15" s="99" t="str">
        <f>IFERROR(VLOOKUP(ROW(BI15)-ROW($BI$15)+1,$BF$15:$BG$54,2,FALSE),"")</f>
        <v/>
      </c>
      <c r="BJ15" s="99" t="str">
        <f>IFERROR(VLOOKUP(ROW(BJ15)-ROW($BJ$15)+1,$BF$15:$BH$54,3,FALSE),"")</f>
        <v/>
      </c>
    </row>
    <row r="16" spans="1:62" ht="22.5" customHeight="1" x14ac:dyDescent="0.4">
      <c r="A16" s="381"/>
      <c r="B16" s="383"/>
      <c r="C16" s="238" t="str">
        <f>IF(OR(R15=2),"変更後","")</f>
        <v/>
      </c>
      <c r="D16" s="142"/>
      <c r="E16" s="241"/>
      <c r="F16" s="241"/>
      <c r="G16" s="241"/>
      <c r="H16" s="241"/>
      <c r="I16" s="241"/>
      <c r="J16" s="241"/>
      <c r="K16" s="241"/>
      <c r="L16" s="244"/>
      <c r="M16" s="226" t="str">
        <f>IF(AND(V16&lt;&gt;"",L16&lt;&gt;"",R15=2),IFERROR(VLOOKUP(V16,競技一覧!$T$5:$Z$50,3+VLOOKUP(L16,リスト!$H$2:$I$5,2,FALSE),FALSE),""),"")</f>
        <v/>
      </c>
      <c r="N16" s="307"/>
      <c r="O16" s="12" t="s">
        <v>235</v>
      </c>
      <c r="P16" s="234"/>
      <c r="R16" s="99" t="str">
        <f>R15</f>
        <v/>
      </c>
      <c r="S16" s="99" t="str">
        <f>$Y$10</f>
        <v>W10</v>
      </c>
      <c r="T16" s="99" t="str">
        <f>IF(R15=2,$Y$7,$Y$10)</f>
        <v>W10</v>
      </c>
      <c r="U16" s="99"/>
      <c r="V16" s="99" t="str">
        <f>IF(AND(E16&lt;&gt;"",E16&lt;&gt;"-"),VLOOKUP(E16,競技一覧!$P$5:$T$50,5,FALSE),"")</f>
        <v/>
      </c>
      <c r="W16" s="99" t="str">
        <f>IF(OR(R16=2),$Y$8,$Y$10)</f>
        <v>W10</v>
      </c>
      <c r="X16" s="99"/>
      <c r="Y16" s="99"/>
      <c r="Z16" s="99" t="str">
        <f>IF(R16=2,$AB$9,IF(R16=4,$AE$7,$Y$10))</f>
        <v>W10</v>
      </c>
      <c r="AA16" s="99" t="str">
        <f>IF(AND(F16&lt;&gt;"",F16&lt;&gt;"-",R16=2),VLOOKUP(F16,選手登録!$L$7:$M$31,2,FALSE),"-")</f>
        <v>-</v>
      </c>
      <c r="AB16" s="99" t="str">
        <f ca="1">IF(OR(R16=2),CELL("address",AC16),IF(OR(R16=4,R16=5),"",$Y$10))</f>
        <v>W10</v>
      </c>
      <c r="AC16" s="99" t="str">
        <f>IF(AND(F16&lt;&gt;"",F16&lt;&gt;"-",R16=2),VLOOKUP(F16,選手登録!$L$7:$N$31,3,FALSE),"-")</f>
        <v>-</v>
      </c>
      <c r="AD16" s="99" t="str">
        <f>IF(OR(R16=2),$Y$9,IF(R16=5,"",$Y$10))</f>
        <v>W10</v>
      </c>
      <c r="AE16" s="99" t="str">
        <f>IF(AND(D16&lt;&gt;"",D16&lt;&gt;"-",OR(R16=2,R16=3)),VLOOKUP(D16,エントリー!$A$6:$K$85,8,TRUE),$Y$10)</f>
        <v>W10</v>
      </c>
      <c r="AF16" s="99" t="str">
        <f>IF(R16=2,VLOOKUP(V16,競技一覧!$T$5:$AA$50,8,TRUE),$Y$10)</f>
        <v>W10</v>
      </c>
      <c r="AG16" s="99"/>
      <c r="AH16" s="99"/>
      <c r="AJ16" s="99" t="str">
        <f t="shared" ref="AJ16:AJ34" si="0">R16</f>
        <v/>
      </c>
      <c r="AK16" s="99" t="str">
        <f t="shared" ref="AK16:AK34" si="1">V16</f>
        <v/>
      </c>
      <c r="AL16" s="99" t="str">
        <f>IF(F16&lt;&gt;"",IFERROR(VLOOKUP(AH16,選手登録!$L$7:$O$56,4,FALSE),""),"")</f>
        <v/>
      </c>
      <c r="AM16" s="99" t="str">
        <f>IF(K16&lt;&gt;"",IFERROR(VLOOKUP(K16,馬匹登録!$B$8:$G$54,6,FALSE),""),"")</f>
        <v/>
      </c>
      <c r="AN16" s="99" t="str">
        <f>IFERROR(VLOOKUP(L16,リスト!$H$2:$I$5,2,FALSE),"")</f>
        <v/>
      </c>
      <c r="AO16" s="99" t="str">
        <f t="shared" ref="AO16:AO34" si="2">IF($R16=4,G16,"")</f>
        <v/>
      </c>
      <c r="AP16" s="99" t="str">
        <f t="shared" ref="AP16:AP35" si="3">IF($R16=4,H16,"")</f>
        <v/>
      </c>
      <c r="AQ16" s="99" t="str">
        <f t="shared" ref="AQ16:AQ35" si="4">IF($R16=4,I16,"")</f>
        <v/>
      </c>
      <c r="AR16" s="99" t="str">
        <f t="shared" ref="AR16:AR34" si="5">IF(OR($R16=4,$R16=5),J16,"")</f>
        <v/>
      </c>
      <c r="AS16" s="99" t="str">
        <f t="shared" ref="AS16:AS34" si="6">IF($R16=5,K16,"")</f>
        <v/>
      </c>
      <c r="AT16" s="99" t="str">
        <f t="shared" ref="AT16:AT34" si="7">M16</f>
        <v/>
      </c>
      <c r="AU16" s="99">
        <f t="shared" ref="AU16:AU35" si="8">N16</f>
        <v>0</v>
      </c>
      <c r="AV16" s="99" t="str">
        <f t="shared" ref="AV16:AV35" si="9">O16</f>
        <v>-</v>
      </c>
      <c r="AW16" s="99" t="str">
        <f t="shared" ref="AW16:AW54" si="10">IF(P16&lt;&gt;"",P16,"")</f>
        <v/>
      </c>
      <c r="AX16" s="99">
        <f t="shared" ref="AX16:AX17" si="11">O9</f>
        <v>0</v>
      </c>
      <c r="AZ16" s="99">
        <f>IF(Y16&lt;&gt;"",AZ15+1,AZ15)</f>
        <v>0</v>
      </c>
      <c r="BA16" s="99" t="str">
        <f t="shared" ref="BA16:BA54" si="12">IF(Y16&lt;&gt;"",Y16,"")</f>
        <v/>
      </c>
      <c r="BB16" s="99">
        <f t="shared" ref="BB16:BB54" si="13">A16</f>
        <v>0</v>
      </c>
      <c r="BC16" s="99" t="str">
        <f t="shared" ref="BC16:BC54" si="14">IFERROR(VLOOKUP(ROW(BC16)-ROW($BC$15)+1,$AZ$15:$BA$54,2,FALSE),"")</f>
        <v/>
      </c>
      <c r="BD16" s="99" t="str">
        <f t="shared" ref="BD16:BD54" si="15">IFERROR(VLOOKUP(ROW(BD16)-ROW($BC$15)+1,$AZ$15:$BB$54,3,FALSE),"")</f>
        <v/>
      </c>
      <c r="BF16" s="99">
        <f>IF(BG16&lt;&gt;"",BF15+1,BF15)</f>
        <v>0</v>
      </c>
      <c r="BG16" s="99"/>
      <c r="BH16" s="99">
        <f t="shared" ref="BH16:BH54" si="16">A16</f>
        <v>0</v>
      </c>
      <c r="BI16" s="99" t="str">
        <f t="shared" ref="BI16:BI54" si="17">IFERROR(VLOOKUP(ROW(BI16)-ROW($BI$15)+1,$BF$15:$BG$54,2,FALSE),"")</f>
        <v/>
      </c>
      <c r="BJ16" s="99" t="str">
        <f t="shared" ref="BJ16:BJ54" si="18">IFERROR(VLOOKUP(ROW(BJ16)-ROW($BJ$15)+1,$BF$15:$BH$54,3,FALSE),"")</f>
        <v/>
      </c>
    </row>
    <row r="17" spans="1:62" ht="22.5" customHeight="1" x14ac:dyDescent="0.4">
      <c r="A17" s="380">
        <v>2</v>
      </c>
      <c r="B17" s="382"/>
      <c r="C17" s="237" t="str">
        <f>IF(OR(R17=2),"変更前","")</f>
        <v/>
      </c>
      <c r="D17" s="141"/>
      <c r="E17" s="240"/>
      <c r="F17" s="240"/>
      <c r="G17" s="240"/>
      <c r="H17" s="240"/>
      <c r="I17" s="240"/>
      <c r="J17" s="240"/>
      <c r="K17" s="240"/>
      <c r="L17" s="243"/>
      <c r="M17" s="227" t="str">
        <f>IF(AND(V17&lt;&gt;"",L17&lt;&gt;"",OR(R17=1,R17=2,R17=3)),IFERROR(VLOOKUP(V17,競技一覧!$T$5:$Z$50,3+VLOOKUP(L17,リスト!$H$2:$I$5,2,FALSE),FALSE) * IF(R17=1,1,-1),""),IF(R17=5,設定!$B$13,IF(R17=6,-1*設定!$B$13,"")))</f>
        <v/>
      </c>
      <c r="N17" s="377" t="str">
        <f>IF($B17&lt;&gt;"",IFERROR(VALUE(M18),0)+IFERROR(VALUE(M17),0),"")</f>
        <v/>
      </c>
      <c r="O17" s="9" t="str">
        <f>IF(OR($R17=1,$R17=2,$R17=3),設定!$B$14,IF($B17&lt;&gt;"",0,""))</f>
        <v/>
      </c>
      <c r="P17" s="233"/>
      <c r="R17" s="99" t="str">
        <f>IF(B17&lt;&gt;"",VLOOKUP(B17,リスト!$N$2:$O$9,2,FALSE),"")</f>
        <v/>
      </c>
      <c r="S17" s="99" t="str">
        <f>IF(OR(R17=2,R17=3),$AB$7,$Y$10)</f>
        <v>W10</v>
      </c>
      <c r="T17" s="99" t="str">
        <f ca="1">IF(OR(R17=2,R17=3),CELL("address",U17),IF(R17=1,$Y$7,$Y$10))</f>
        <v>W10</v>
      </c>
      <c r="U17" s="99" t="str">
        <f>IF(AND(OR(R17=2, R17=3),D17&lt;&gt;"",D17&lt;&gt;"-"),VLOOKUP(D17,エントリー!$A$6:$K$85,6,TRUE),"-")</f>
        <v>-</v>
      </c>
      <c r="V17" s="99" t="str">
        <f>IF(AND(E17&lt;&gt;"",E17&lt;&gt;"-"),VLOOKUP(E17,競技一覧!$P$5:$T$50,5,FALSE),"")</f>
        <v/>
      </c>
      <c r="W17" s="99" t="str">
        <f ca="1">IF(OR(R17=2,R17=3),CELL("address",X17),IF(OR(R17=4),CELL("address",Y17),IF(R17=1,$Y$8,$Y$10)))</f>
        <v>W10</v>
      </c>
      <c r="X17" s="99" t="str">
        <f>IF(AND(D17&lt;&gt;"",D17&lt;&gt;"-"),VLOOKUP(D17,エントリー!$A$6:$K$85,7,TRUE),"-")</f>
        <v>-</v>
      </c>
      <c r="Y17" s="99" t="str">
        <f>IF(R17=4,G17 &amp; " " &amp; H17,"")</f>
        <v/>
      </c>
      <c r="Z17" s="99" t="str">
        <f ca="1">IF(R17=4,$AB$9,IF(OR(R17=1,R17=2,R17=3),CELL("address",AA17),$Y$10))</f>
        <v>W10</v>
      </c>
      <c r="AA17" s="99" t="str">
        <f>IF(AND(F17&lt;&gt;"",F17&lt;&gt;"-",OR(R17=1,R17=2,R17=3)),VLOOKUP(F17,選手登録!$L$7:$M$31,2,FALSE),"-")</f>
        <v>-</v>
      </c>
      <c r="AB17" s="99" t="str">
        <f ca="1">IF(OR(R17=1,R17=2,R17=3),CELL("address",AC17),IF(OR(R17=4),$AB$10,$Y$10))</f>
        <v>W10</v>
      </c>
      <c r="AC17" s="99" t="str">
        <f>IF(AND(F17&lt;&gt;"",F17&lt;&gt;"-",OR(R17=1,R17=2,R17=3)),VLOOKUP(F17,選手登録!$L$7:$N$31,3,FALSE),"-")</f>
        <v>-</v>
      </c>
      <c r="AD17" s="99" t="str">
        <f ca="1">IF(OR(R17=2,R17=3),CELL("address",AE17),IF(OR(R17=1,R17=6),$Y$9,IF(R17=5,"",$Y$10)))</f>
        <v>W10</v>
      </c>
      <c r="AE17" s="99" t="str">
        <f>IF(AND(D17&lt;&gt;"",D17&lt;&gt;"-",OR(R17=2,R17=3)),VLOOKUP(D17,エントリー!$A$6:$K$85,8,TRUE),$Y$10)</f>
        <v>W10</v>
      </c>
      <c r="AF17" s="99" t="str">
        <f ca="1">IF(OR(R17=2,R17=3),CELL("address",AG17),IF(R17=1,VLOOKUP(V17,競技一覧!$T$5:$AA$50,8,TRUE),$Y$10))</f>
        <v>W10</v>
      </c>
      <c r="AG17" s="99" t="str">
        <f>IF(AND(OR(R17=2,R17=3),D17&lt;&gt;"",D17&lt;&gt;"-"),VLOOKUP(D17,エントリー!$A$6:$J$85,10,TRUE),$X$10)</f>
        <v>-</v>
      </c>
      <c r="AH17" s="99" t="str">
        <f>IF(F17&lt;&gt;"",F17,IF(Y17&lt;&gt;"",Y17,""))</f>
        <v/>
      </c>
      <c r="AJ17" s="99" t="str">
        <f t="shared" si="0"/>
        <v/>
      </c>
      <c r="AK17" s="99" t="str">
        <f t="shared" si="1"/>
        <v/>
      </c>
      <c r="AL17" s="99" t="str">
        <f>IF(F17&lt;&gt;"",IFERROR(VLOOKUP(AH17,選手登録!$L$7:$O$56,4,FALSE),""),"")</f>
        <v/>
      </c>
      <c r="AM17" s="99" t="str">
        <f>IF(K17&lt;&gt;"",IFERROR(VLOOKUP(K17,馬匹登録!$B$8:$G$54,6,FALSE),""),"")</f>
        <v/>
      </c>
      <c r="AN17" s="99" t="str">
        <f>IFERROR(VLOOKUP(L17,リスト!$H$2:$I$5,2,FALSE),"")</f>
        <v/>
      </c>
      <c r="AO17" s="99" t="str">
        <f t="shared" si="2"/>
        <v/>
      </c>
      <c r="AP17" s="99" t="str">
        <f t="shared" si="3"/>
        <v/>
      </c>
      <c r="AQ17" s="99" t="str">
        <f t="shared" si="4"/>
        <v/>
      </c>
      <c r="AR17" s="99" t="str">
        <f t="shared" si="5"/>
        <v/>
      </c>
      <c r="AS17" s="99" t="str">
        <f t="shared" si="6"/>
        <v/>
      </c>
      <c r="AT17" s="99" t="str">
        <f t="shared" si="7"/>
        <v/>
      </c>
      <c r="AU17" s="99" t="str">
        <f t="shared" si="8"/>
        <v/>
      </c>
      <c r="AV17" s="99" t="str">
        <f t="shared" si="9"/>
        <v/>
      </c>
      <c r="AW17" s="99" t="str">
        <f t="shared" si="10"/>
        <v/>
      </c>
      <c r="AX17" s="99">
        <f t="shared" si="11"/>
        <v>0</v>
      </c>
      <c r="AZ17" s="99">
        <f t="shared" ref="AZ17:AZ54" si="19">IF(Y17&lt;&gt;"",AZ16+1,AZ16)</f>
        <v>0</v>
      </c>
      <c r="BA17" s="99" t="str">
        <f t="shared" si="12"/>
        <v/>
      </c>
      <c r="BB17" s="99">
        <f t="shared" si="13"/>
        <v>2</v>
      </c>
      <c r="BC17" s="99" t="str">
        <f t="shared" si="14"/>
        <v/>
      </c>
      <c r="BD17" s="99" t="str">
        <f t="shared" si="15"/>
        <v/>
      </c>
      <c r="BF17" s="99">
        <f t="shared" ref="BF17:BF54" si="20">IF(BG17&lt;&gt;"",BF16+1,BF16)</f>
        <v>0</v>
      </c>
      <c r="BG17" s="99" t="str">
        <f t="shared" ref="BG17:BG53" si="21">IF(AND($R17=5,$K17&lt;&gt;""),$K17,"")</f>
        <v/>
      </c>
      <c r="BH17" s="99">
        <f t="shared" si="16"/>
        <v>2</v>
      </c>
      <c r="BI17" s="99" t="str">
        <f t="shared" si="17"/>
        <v/>
      </c>
      <c r="BJ17" s="99" t="str">
        <f t="shared" si="18"/>
        <v/>
      </c>
    </row>
    <row r="18" spans="1:62" ht="22.5" customHeight="1" x14ac:dyDescent="0.4">
      <c r="A18" s="381"/>
      <c r="B18" s="383"/>
      <c r="C18" s="238" t="str">
        <f>IF(OR(R17=2),"変更後","")</f>
        <v/>
      </c>
      <c r="D18" s="142"/>
      <c r="E18" s="241"/>
      <c r="F18" s="241"/>
      <c r="G18" s="241"/>
      <c r="H18" s="241"/>
      <c r="I18" s="241"/>
      <c r="J18" s="241"/>
      <c r="K18" s="241"/>
      <c r="L18" s="244"/>
      <c r="M18" s="226" t="str">
        <f>IF(AND(V18&lt;&gt;"",L18&lt;&gt;"",R17=2),IFERROR(VLOOKUP(V18,競技一覧!$T$5:$Z$50,3+VLOOKUP(L18,リスト!$H$2:$I$5,2,FALSE),FALSE),""),"")</f>
        <v/>
      </c>
      <c r="N18" s="307"/>
      <c r="O18" s="12" t="s">
        <v>11</v>
      </c>
      <c r="P18" s="234"/>
      <c r="R18" s="99" t="str">
        <f>R17</f>
        <v/>
      </c>
      <c r="S18" s="99" t="str">
        <f>$Y$10</f>
        <v>W10</v>
      </c>
      <c r="T18" s="99" t="str">
        <f>IF(R17=2,$Y$7,$Y$10)</f>
        <v>W10</v>
      </c>
      <c r="U18" s="99"/>
      <c r="V18" s="99" t="str">
        <f>IF(AND(E18&lt;&gt;"",E18&lt;&gt;"-"),VLOOKUP(E18,競技一覧!$P$5:$T$50,5,FALSE),"")</f>
        <v/>
      </c>
      <c r="W18" s="99" t="str">
        <f>IF(OR(R18=2),$Y$8,$Y$10)</f>
        <v>W10</v>
      </c>
      <c r="X18" s="99"/>
      <c r="Y18" s="99"/>
      <c r="Z18" s="99" t="str">
        <f>IF(R18=2,$AB$9,IF(R18=4,$AE$7,$Y$10))</f>
        <v>W10</v>
      </c>
      <c r="AA18" s="99" t="str">
        <f>IF(AND(F18&lt;&gt;"",F18&lt;&gt;"-",R18=2),VLOOKUP(F18,選手登録!$L$7:$M$31,2,FALSE),"-")</f>
        <v>-</v>
      </c>
      <c r="AB18" s="99" t="str">
        <f ca="1">IF(OR(R18=2),CELL("address",AC18),IF(OR(R18=4,R18=5),"",$Y$10))</f>
        <v>W10</v>
      </c>
      <c r="AC18" s="99" t="str">
        <f>IF(AND(F18&lt;&gt;"",F18&lt;&gt;"-",R18=2),VLOOKUP(F18,選手登録!$L$7:$N$31,3,FALSE),"-")</f>
        <v>-</v>
      </c>
      <c r="AD18" s="99" t="str">
        <f>IF(OR(R18=2),$Y$9,IF(R18=5,"",$Y$10))</f>
        <v>W10</v>
      </c>
      <c r="AE18" s="99" t="str">
        <f>IF(AND(D18&lt;&gt;"",D18&lt;&gt;"-",OR(R18=2,R18=3)),VLOOKUP(D18,エントリー!$A$6:$K$85,8,TRUE),$Y$10)</f>
        <v>W10</v>
      </c>
      <c r="AF18" s="99" t="str">
        <f>IF(R18=2,VLOOKUP(V18,競技一覧!$T$5:$AA$50,8,TRUE),$Y$10)</f>
        <v>W10</v>
      </c>
      <c r="AG18" s="99"/>
      <c r="AH18" s="99"/>
      <c r="AJ18" s="99" t="str">
        <f t="shared" si="0"/>
        <v/>
      </c>
      <c r="AK18" s="99" t="str">
        <f t="shared" si="1"/>
        <v/>
      </c>
      <c r="AL18" s="99" t="str">
        <f>IF(F18&lt;&gt;"",IFERROR(VLOOKUP(AH18,選手登録!$L$7:$O$56,4,FALSE),""),"")</f>
        <v/>
      </c>
      <c r="AM18" s="99" t="str">
        <f>IF(K18&lt;&gt;"",IFERROR(VLOOKUP(K18,馬匹登録!$B$8:$G$54,6,FALSE),""),"")</f>
        <v/>
      </c>
      <c r="AN18" s="99" t="str">
        <f>IFERROR(VLOOKUP(L18,リスト!$H$2:$I$5,2,FALSE),"")</f>
        <v/>
      </c>
      <c r="AO18" s="99" t="str">
        <f t="shared" si="2"/>
        <v/>
      </c>
      <c r="AP18" s="99" t="str">
        <f t="shared" si="3"/>
        <v/>
      </c>
      <c r="AQ18" s="99" t="str">
        <f t="shared" si="4"/>
        <v/>
      </c>
      <c r="AR18" s="99" t="str">
        <f t="shared" si="5"/>
        <v/>
      </c>
      <c r="AS18" s="99" t="str">
        <f t="shared" si="6"/>
        <v/>
      </c>
      <c r="AT18" s="99" t="str">
        <f t="shared" si="7"/>
        <v/>
      </c>
      <c r="AU18" s="99">
        <f t="shared" si="8"/>
        <v>0</v>
      </c>
      <c r="AV18" s="99" t="str">
        <f t="shared" si="9"/>
        <v>-</v>
      </c>
      <c r="AW18" s="99" t="str">
        <f t="shared" si="10"/>
        <v/>
      </c>
      <c r="AX18" s="99"/>
      <c r="AZ18" s="99">
        <f t="shared" si="19"/>
        <v>0</v>
      </c>
      <c r="BA18" s="99" t="str">
        <f t="shared" si="12"/>
        <v/>
      </c>
      <c r="BB18" s="99">
        <f t="shared" si="13"/>
        <v>0</v>
      </c>
      <c r="BC18" s="99" t="str">
        <f t="shared" si="14"/>
        <v/>
      </c>
      <c r="BD18" s="99" t="str">
        <f t="shared" si="15"/>
        <v/>
      </c>
      <c r="BF18" s="99">
        <f t="shared" si="20"/>
        <v>0</v>
      </c>
      <c r="BG18" s="99"/>
      <c r="BH18" s="99">
        <f t="shared" si="16"/>
        <v>0</v>
      </c>
      <c r="BI18" s="99" t="str">
        <f t="shared" si="17"/>
        <v/>
      </c>
      <c r="BJ18" s="99" t="str">
        <f t="shared" si="18"/>
        <v/>
      </c>
    </row>
    <row r="19" spans="1:62" ht="22.5" customHeight="1" x14ac:dyDescent="0.4">
      <c r="A19" s="380">
        <v>3</v>
      </c>
      <c r="B19" s="382"/>
      <c r="C19" s="237" t="str">
        <f>IF(OR(R19=2),"変更前","")</f>
        <v/>
      </c>
      <c r="D19" s="141"/>
      <c r="E19" s="240"/>
      <c r="F19" s="240"/>
      <c r="G19" s="240"/>
      <c r="H19" s="240"/>
      <c r="I19" s="240"/>
      <c r="J19" s="240"/>
      <c r="K19" s="240"/>
      <c r="L19" s="243"/>
      <c r="M19" s="227" t="str">
        <f>IF(AND(V19&lt;&gt;"",L19&lt;&gt;"",OR(R19=1,R19=2,R19=3)),IFERROR(VLOOKUP(V19,競技一覧!$T$5:$Z$50,3+VLOOKUP(L19,リスト!$H$2:$I$5,2,FALSE),FALSE) * IF(R19=1,1,-1),""),IF(R19=5,設定!$B$13,IF(R19=6,-1*設定!$B$13,"")))</f>
        <v/>
      </c>
      <c r="N19" s="377" t="str">
        <f>IF($B19&lt;&gt;"",IFERROR(VALUE(M20),0)+IFERROR(VALUE(M19),0),"")</f>
        <v/>
      </c>
      <c r="O19" s="9" t="str">
        <f>IF(OR($R19=1,$R19=2,$R19=3),設定!$B$14,IF($B19&lt;&gt;"",0,""))</f>
        <v/>
      </c>
      <c r="P19" s="233"/>
      <c r="R19" s="99" t="str">
        <f>IF(B19&lt;&gt;"",VLOOKUP(B19,リスト!$N$2:$O$9,2,FALSE),"")</f>
        <v/>
      </c>
      <c r="S19" s="99" t="str">
        <f>IF(OR(R19=2,R19=3),$AB$7,$Y$10)</f>
        <v>W10</v>
      </c>
      <c r="T19" s="99" t="str">
        <f ca="1">IF(OR(R19=2,R19=3),CELL("address",U19),IF(R19=1,$Y$7,$Y$10))</f>
        <v>W10</v>
      </c>
      <c r="U19" s="99" t="str">
        <f>IF(AND(OR(R19=2, R19=3),D19&lt;&gt;"",D19&lt;&gt;"-"),VLOOKUP(D19,エントリー!$A$6:$K$85,6,TRUE),"-")</f>
        <v>-</v>
      </c>
      <c r="V19" s="99" t="str">
        <f>IF(AND(E19&lt;&gt;"",E19&lt;&gt;"-"),VLOOKUP(E19,競技一覧!$P$5:$T$50,5,FALSE),"")</f>
        <v/>
      </c>
      <c r="W19" s="99" t="str">
        <f ca="1">IF(OR(R19=2,R19=3),CELL("address",X19),IF(OR(R19=4),CELL("address",Y19),IF(R19=1,$Y$8,$Y$10)))</f>
        <v>W10</v>
      </c>
      <c r="X19" s="99" t="str">
        <f>IF(AND(D19&lt;&gt;"",D19&lt;&gt;"-"),VLOOKUP(D19,エントリー!$A$6:$K$85,7,TRUE),"-")</f>
        <v>-</v>
      </c>
      <c r="Y19" s="99" t="str">
        <f>IF(R19=4,G19 &amp; " " &amp; H19,"")</f>
        <v/>
      </c>
      <c r="Z19" s="99" t="str">
        <f ca="1">IF(R19=4,$AB$9,IF(OR(R19=1,R19=2,R19=3),CELL("address",AA19),$Y$10))</f>
        <v>W10</v>
      </c>
      <c r="AA19" s="99" t="str">
        <f>IF(AND(F19&lt;&gt;"",F19&lt;&gt;"-",OR(R19=1,R19=2,R19=3)),VLOOKUP(F19,選手登録!$L$7:$M$31,2,FALSE),"-")</f>
        <v>-</v>
      </c>
      <c r="AB19" s="99" t="str">
        <f ca="1">IF(OR(R19=1,R19=2,R19=3),CELL("address",AC19),IF(OR(R19=4),$AB$10,$Y$10))</f>
        <v>W10</v>
      </c>
      <c r="AC19" s="99" t="str">
        <f>IF(AND(F19&lt;&gt;"",F19&lt;&gt;"-",OR(R19=1,R19=2,R19=3)),VLOOKUP(F19,選手登録!$L$7:$N$31,3,FALSE),"-")</f>
        <v>-</v>
      </c>
      <c r="AD19" s="99" t="str">
        <f ca="1">IF(OR(R19=2,R19=3),CELL("address",AE19),IF(OR(R19=1,R19=6),$Y$9,IF(R19=5,"",$Y$10)))</f>
        <v>W10</v>
      </c>
      <c r="AE19" s="99" t="str">
        <f>IF(AND(D19&lt;&gt;"",D19&lt;&gt;"-",OR(R19=2,R19=3)),VLOOKUP(D19,エントリー!$A$6:$K$85,8,TRUE),$Y$10)</f>
        <v>W10</v>
      </c>
      <c r="AF19" s="99" t="str">
        <f ca="1">IF(OR(R19=2,R19=3),CELL("address",AG19),IF(R19=1,VLOOKUP(V19,競技一覧!$T$5:$AA$50,8,TRUE),$Y$10))</f>
        <v>W10</v>
      </c>
      <c r="AG19" s="99" t="str">
        <f>IF(AND(OR(R19=2,R19=3),D19&lt;&gt;"",D19&lt;&gt;"-"),VLOOKUP(D19,エントリー!$A$6:$J$85,10,TRUE),$X$10)</f>
        <v>-</v>
      </c>
      <c r="AH19" s="99" t="str">
        <f>IF(F19&lt;&gt;"",F19,IF(Y19&lt;&gt;"",Y19,""))</f>
        <v/>
      </c>
      <c r="AJ19" s="99" t="str">
        <f t="shared" si="0"/>
        <v/>
      </c>
      <c r="AK19" s="99" t="str">
        <f t="shared" si="1"/>
        <v/>
      </c>
      <c r="AL19" s="99" t="str">
        <f>IF(F19&lt;&gt;"",IFERROR(VLOOKUP(AH19,選手登録!$L$7:$O$56,4,FALSE),""),"")</f>
        <v/>
      </c>
      <c r="AM19" s="99" t="str">
        <f>IF(K19&lt;&gt;"",IFERROR(VLOOKUP(K19,馬匹登録!$B$8:$G$54,6,FALSE),""),"")</f>
        <v/>
      </c>
      <c r="AN19" s="99" t="str">
        <f>IFERROR(VLOOKUP(L19,リスト!$H$2:$I$5,2,FALSE),"")</f>
        <v/>
      </c>
      <c r="AO19" s="99" t="str">
        <f t="shared" si="2"/>
        <v/>
      </c>
      <c r="AP19" s="99" t="str">
        <f t="shared" si="3"/>
        <v/>
      </c>
      <c r="AQ19" s="99" t="str">
        <f t="shared" si="4"/>
        <v/>
      </c>
      <c r="AR19" s="99" t="str">
        <f t="shared" si="5"/>
        <v/>
      </c>
      <c r="AS19" s="99" t="str">
        <f t="shared" si="6"/>
        <v/>
      </c>
      <c r="AT19" s="99" t="str">
        <f t="shared" si="7"/>
        <v/>
      </c>
      <c r="AU19" s="99" t="str">
        <f t="shared" si="8"/>
        <v/>
      </c>
      <c r="AV19" s="99" t="str">
        <f t="shared" si="9"/>
        <v/>
      </c>
      <c r="AW19" s="99" t="str">
        <f t="shared" si="10"/>
        <v/>
      </c>
      <c r="AX19" s="99"/>
      <c r="AZ19" s="99">
        <f t="shared" si="19"/>
        <v>0</v>
      </c>
      <c r="BA19" s="99" t="str">
        <f t="shared" si="12"/>
        <v/>
      </c>
      <c r="BB19" s="99">
        <f t="shared" si="13"/>
        <v>3</v>
      </c>
      <c r="BC19" s="99" t="str">
        <f t="shared" si="14"/>
        <v/>
      </c>
      <c r="BD19" s="99" t="str">
        <f t="shared" si="15"/>
        <v/>
      </c>
      <c r="BF19" s="99">
        <f t="shared" si="20"/>
        <v>0</v>
      </c>
      <c r="BG19" s="99" t="str">
        <f t="shared" si="21"/>
        <v/>
      </c>
      <c r="BH19" s="99">
        <f t="shared" si="16"/>
        <v>3</v>
      </c>
      <c r="BI19" s="99" t="str">
        <f t="shared" si="17"/>
        <v/>
      </c>
      <c r="BJ19" s="99" t="str">
        <f t="shared" si="18"/>
        <v/>
      </c>
    </row>
    <row r="20" spans="1:62" ht="22.5" customHeight="1" x14ac:dyDescent="0.4">
      <c r="A20" s="381"/>
      <c r="B20" s="383"/>
      <c r="C20" s="238" t="str">
        <f>IF(OR(R19=2),"変更後","")</f>
        <v/>
      </c>
      <c r="D20" s="142"/>
      <c r="E20" s="241"/>
      <c r="F20" s="241"/>
      <c r="G20" s="241"/>
      <c r="H20" s="241"/>
      <c r="I20" s="241"/>
      <c r="J20" s="241"/>
      <c r="K20" s="241"/>
      <c r="L20" s="244"/>
      <c r="M20" s="226" t="str">
        <f>IF(AND(V20&lt;&gt;"",L20&lt;&gt;"",R19=2),IFERROR(VLOOKUP(V20,競技一覧!$T$5:$Z$50,3+VLOOKUP(L20,リスト!$H$2:$I$5,2,FALSE),FALSE),""),"")</f>
        <v/>
      </c>
      <c r="N20" s="307"/>
      <c r="O20" s="12" t="s">
        <v>11</v>
      </c>
      <c r="P20" s="234"/>
      <c r="R20" s="99" t="str">
        <f>R19</f>
        <v/>
      </c>
      <c r="S20" s="99" t="str">
        <f>$Y$10</f>
        <v>W10</v>
      </c>
      <c r="T20" s="99" t="str">
        <f>IF(R19=2,$Y$7,$Y$10)</f>
        <v>W10</v>
      </c>
      <c r="U20" s="99"/>
      <c r="V20" s="99" t="str">
        <f>IF(AND(E20&lt;&gt;"",E20&lt;&gt;"-"),VLOOKUP(E20,競技一覧!$P$5:$T$50,5,FALSE),"")</f>
        <v/>
      </c>
      <c r="W20" s="99" t="str">
        <f>IF(OR(R20=2),$Y$8,$Y$10)</f>
        <v>W10</v>
      </c>
      <c r="X20" s="99"/>
      <c r="Y20" s="99"/>
      <c r="Z20" s="99" t="str">
        <f>IF(R20=2,$AB$9,IF(R20=4,$AE$7,$Y$10))</f>
        <v>W10</v>
      </c>
      <c r="AA20" s="99" t="str">
        <f>IF(AND(F20&lt;&gt;"",F20&lt;&gt;"-",R20=2),VLOOKUP(F20,選手登録!$L$7:$M$31,2,FALSE),"-")</f>
        <v>-</v>
      </c>
      <c r="AB20" s="99" t="str">
        <f ca="1">IF(OR(R20=2),CELL("address",AC20),IF(OR(R20=4,R20=5),"",$Y$10))</f>
        <v>W10</v>
      </c>
      <c r="AC20" s="99" t="str">
        <f>IF(AND(F20&lt;&gt;"",F20&lt;&gt;"-",R20=2),VLOOKUP(F20,選手登録!$L$7:$N$31,3,FALSE),"-")</f>
        <v>-</v>
      </c>
      <c r="AD20" s="99" t="str">
        <f>IF(OR(R20=2),$Y$9,IF(R20=5,"",$Y$10))</f>
        <v>W10</v>
      </c>
      <c r="AE20" s="99" t="str">
        <f>IF(AND(D20&lt;&gt;"",D20&lt;&gt;"-",OR(R20=2,R20=3)),VLOOKUP(D20,エントリー!$A$6:$K$85,8,TRUE),$Y$10)</f>
        <v>W10</v>
      </c>
      <c r="AF20" s="99" t="str">
        <f>IF(R20=2,VLOOKUP(V20,競技一覧!$T$5:$AA$50,8,TRUE),$Y$10)</f>
        <v>W10</v>
      </c>
      <c r="AG20" s="99"/>
      <c r="AH20" s="99"/>
      <c r="AJ20" s="99" t="str">
        <f t="shared" si="0"/>
        <v/>
      </c>
      <c r="AK20" s="99" t="str">
        <f t="shared" si="1"/>
        <v/>
      </c>
      <c r="AL20" s="99" t="str">
        <f>IF(F20&lt;&gt;"",IFERROR(VLOOKUP(AH20,選手登録!$L$7:$O$56,4,FALSE),""),"")</f>
        <v/>
      </c>
      <c r="AM20" s="99" t="str">
        <f>IF(K20&lt;&gt;"",IFERROR(VLOOKUP(K20,馬匹登録!$B$8:$G$54,6,FALSE),""),"")</f>
        <v/>
      </c>
      <c r="AN20" s="99" t="str">
        <f>IFERROR(VLOOKUP(L20,リスト!$H$2:$I$5,2,FALSE),"")</f>
        <v/>
      </c>
      <c r="AO20" s="99" t="str">
        <f t="shared" si="2"/>
        <v/>
      </c>
      <c r="AP20" s="99" t="str">
        <f t="shared" si="3"/>
        <v/>
      </c>
      <c r="AQ20" s="99" t="str">
        <f t="shared" si="4"/>
        <v/>
      </c>
      <c r="AR20" s="99" t="str">
        <f t="shared" si="5"/>
        <v/>
      </c>
      <c r="AS20" s="99" t="str">
        <f t="shared" si="6"/>
        <v/>
      </c>
      <c r="AT20" s="99" t="str">
        <f t="shared" si="7"/>
        <v/>
      </c>
      <c r="AU20" s="99">
        <f t="shared" si="8"/>
        <v>0</v>
      </c>
      <c r="AV20" s="99" t="str">
        <f t="shared" si="9"/>
        <v>-</v>
      </c>
      <c r="AW20" s="99" t="str">
        <f t="shared" si="10"/>
        <v/>
      </c>
      <c r="AX20" s="99"/>
      <c r="AZ20" s="99">
        <f t="shared" si="19"/>
        <v>0</v>
      </c>
      <c r="BA20" s="99" t="str">
        <f t="shared" si="12"/>
        <v/>
      </c>
      <c r="BB20" s="99">
        <f t="shared" si="13"/>
        <v>0</v>
      </c>
      <c r="BC20" s="99" t="str">
        <f t="shared" si="14"/>
        <v/>
      </c>
      <c r="BD20" s="99" t="str">
        <f t="shared" si="15"/>
        <v/>
      </c>
      <c r="BF20" s="99">
        <f t="shared" si="20"/>
        <v>0</v>
      </c>
      <c r="BG20" s="99"/>
      <c r="BH20" s="99">
        <f t="shared" si="16"/>
        <v>0</v>
      </c>
      <c r="BI20" s="99" t="str">
        <f t="shared" si="17"/>
        <v/>
      </c>
      <c r="BJ20" s="99" t="str">
        <f t="shared" si="18"/>
        <v/>
      </c>
    </row>
    <row r="21" spans="1:62" ht="22.5" customHeight="1" x14ac:dyDescent="0.4">
      <c r="A21" s="380">
        <v>4</v>
      </c>
      <c r="B21" s="382"/>
      <c r="C21" s="237" t="str">
        <f>IF(OR(R21=2),"変更前","")</f>
        <v/>
      </c>
      <c r="D21" s="141"/>
      <c r="E21" s="240"/>
      <c r="F21" s="240"/>
      <c r="G21" s="240"/>
      <c r="H21" s="240"/>
      <c r="I21" s="240"/>
      <c r="J21" s="240"/>
      <c r="K21" s="240"/>
      <c r="L21" s="243"/>
      <c r="M21" s="227" t="str">
        <f>IF(AND(V21&lt;&gt;"",L21&lt;&gt;"",OR(R21=1,R21=2,R21=3)),IFERROR(VLOOKUP(V21,競技一覧!$T$5:$Z$50,3+VLOOKUP(L21,リスト!$H$2:$I$5,2,FALSE),FALSE) * IF(R21=1,1,-1),""),IF(R21=5,設定!$B$13,IF(R21=6,-1*設定!$B$13,"")))</f>
        <v/>
      </c>
      <c r="N21" s="377" t="str">
        <f>IF($B21&lt;&gt;"",IFERROR(VALUE(M22),0)+IFERROR(VALUE(M21),0),"")</f>
        <v/>
      </c>
      <c r="O21" s="9" t="str">
        <f>IF(OR($R21=1,$R21=2,$R21=3),設定!$B$14,IF($B21&lt;&gt;"",0,""))</f>
        <v/>
      </c>
      <c r="P21" s="233"/>
      <c r="R21" s="99" t="str">
        <f>IF(B21&lt;&gt;"",VLOOKUP(B21,リスト!$N$2:$O$9,2,FALSE),"")</f>
        <v/>
      </c>
      <c r="S21" s="99" t="str">
        <f>IF(OR(R21=2,R21=3),$AB$7,$Y$10)</f>
        <v>W10</v>
      </c>
      <c r="T21" s="99" t="str">
        <f ca="1">IF(OR(R21=2,R21=3),CELL("address",U21),IF(R21=1,$Y$7,$Y$10))</f>
        <v>W10</v>
      </c>
      <c r="U21" s="99" t="str">
        <f>IF(AND(OR(R21=2, R21=3),D21&lt;&gt;"",D21&lt;&gt;"-"),VLOOKUP(D21,エントリー!$A$6:$K$85,6,TRUE),"-")</f>
        <v>-</v>
      </c>
      <c r="V21" s="99" t="str">
        <f>IF(AND(E21&lt;&gt;"",E21&lt;&gt;"-"),VLOOKUP(E21,競技一覧!$P$5:$T$50,5,FALSE),"")</f>
        <v/>
      </c>
      <c r="W21" s="99" t="str">
        <f ca="1">IF(OR(R21=2,R21=3),CELL("address",X21),IF(OR(R21=4),CELL("address",Y21),IF(R21=1,$Y$8,$Y$10)))</f>
        <v>W10</v>
      </c>
      <c r="X21" s="99" t="str">
        <f>IF(AND(D21&lt;&gt;"",D21&lt;&gt;"-"),VLOOKUP(D21,エントリー!$A$6:$K$85,7,TRUE),"-")</f>
        <v>-</v>
      </c>
      <c r="Y21" s="99" t="str">
        <f>IF(R21=4,G21 &amp; " " &amp; H21,"")</f>
        <v/>
      </c>
      <c r="Z21" s="99" t="str">
        <f ca="1">IF(R21=4,$AB$9,IF(OR(R21=1,R21=2,R21=3),CELL("address",AA21),$Y$10))</f>
        <v>W10</v>
      </c>
      <c r="AA21" s="99" t="str">
        <f>IF(AND(F21&lt;&gt;"",F21&lt;&gt;"-",OR(R21=1,R21=2,R21=3)),VLOOKUP(F21,選手登録!$L$7:$M$31,2,FALSE),"-")</f>
        <v>-</v>
      </c>
      <c r="AB21" s="99" t="str">
        <f ca="1">IF(OR(R21=1,R21=2,R21=3),CELL("address",AC21),IF(OR(R21=4),$AB$10,$Y$10))</f>
        <v>W10</v>
      </c>
      <c r="AC21" s="99" t="str">
        <f>IF(AND(F21&lt;&gt;"",F21&lt;&gt;"-",OR(R21=1,R21=2,R21=3)),VLOOKUP(F21,選手登録!$L$7:$N$31,3,FALSE),"-")</f>
        <v>-</v>
      </c>
      <c r="AD21" s="99" t="str">
        <f ca="1">IF(OR(R21=2,R21=3),CELL("address",AE21),IF(OR(R21=1,R21=6),$Y$9,IF(R21=5,"",$Y$10)))</f>
        <v>W10</v>
      </c>
      <c r="AE21" s="99" t="str">
        <f>IF(AND(D21&lt;&gt;"",D21&lt;&gt;"-",OR(R21=2,R21=3)),VLOOKUP(D21,エントリー!$A$6:$K$85,8,TRUE),$Y$10)</f>
        <v>W10</v>
      </c>
      <c r="AF21" s="99" t="str">
        <f ca="1">IF(OR(R21=2,R21=3),CELL("address",AG21),IF(R21=1,VLOOKUP(V21,競技一覧!$T$5:$AA$50,8,TRUE),$Y$10))</f>
        <v>W10</v>
      </c>
      <c r="AG21" s="99" t="str">
        <f>IF(AND(OR(R21=2,R21=3),D21&lt;&gt;"",D21&lt;&gt;"-"),VLOOKUP(D21,エントリー!$A$6:$J$85,10,TRUE),$X$10)</f>
        <v>-</v>
      </c>
      <c r="AH21" s="99" t="str">
        <f>IF(F21&lt;&gt;"",F21,IF(Y21&lt;&gt;"",Y21,""))</f>
        <v/>
      </c>
      <c r="AJ21" s="99" t="str">
        <f t="shared" si="0"/>
        <v/>
      </c>
      <c r="AK21" s="99" t="str">
        <f t="shared" si="1"/>
        <v/>
      </c>
      <c r="AL21" s="99" t="str">
        <f>IF(F21&lt;&gt;"",IFERROR(VLOOKUP(AH21,選手登録!$L$7:$O$56,4,FALSE),""),"")</f>
        <v/>
      </c>
      <c r="AM21" s="99" t="str">
        <f>IF(K21&lt;&gt;"",IFERROR(VLOOKUP(K21,馬匹登録!$B$8:$G$54,6,FALSE),""),"")</f>
        <v/>
      </c>
      <c r="AN21" s="99" t="str">
        <f>IFERROR(VLOOKUP(L21,リスト!$H$2:$I$5,2,FALSE),"")</f>
        <v/>
      </c>
      <c r="AO21" s="99" t="str">
        <f t="shared" si="2"/>
        <v/>
      </c>
      <c r="AP21" s="99" t="str">
        <f t="shared" si="3"/>
        <v/>
      </c>
      <c r="AQ21" s="99" t="str">
        <f t="shared" si="4"/>
        <v/>
      </c>
      <c r="AR21" s="99" t="str">
        <f t="shared" si="5"/>
        <v/>
      </c>
      <c r="AS21" s="99" t="str">
        <f t="shared" si="6"/>
        <v/>
      </c>
      <c r="AT21" s="99" t="str">
        <f t="shared" si="7"/>
        <v/>
      </c>
      <c r="AU21" s="99" t="str">
        <f t="shared" si="8"/>
        <v/>
      </c>
      <c r="AV21" s="99" t="str">
        <f t="shared" si="9"/>
        <v/>
      </c>
      <c r="AW21" s="99" t="str">
        <f t="shared" si="10"/>
        <v/>
      </c>
      <c r="AX21" s="99"/>
      <c r="AZ21" s="99">
        <f t="shared" si="19"/>
        <v>0</v>
      </c>
      <c r="BA21" s="99" t="str">
        <f t="shared" si="12"/>
        <v/>
      </c>
      <c r="BB21" s="99">
        <f t="shared" si="13"/>
        <v>4</v>
      </c>
      <c r="BC21" s="99" t="str">
        <f t="shared" si="14"/>
        <v/>
      </c>
      <c r="BD21" s="99" t="str">
        <f t="shared" si="15"/>
        <v/>
      </c>
      <c r="BF21" s="99">
        <f t="shared" si="20"/>
        <v>0</v>
      </c>
      <c r="BG21" s="99" t="str">
        <f t="shared" si="21"/>
        <v/>
      </c>
      <c r="BH21" s="99">
        <f t="shared" si="16"/>
        <v>4</v>
      </c>
      <c r="BI21" s="99" t="str">
        <f t="shared" si="17"/>
        <v/>
      </c>
      <c r="BJ21" s="99" t="str">
        <f t="shared" si="18"/>
        <v/>
      </c>
    </row>
    <row r="22" spans="1:62" ht="22.5" customHeight="1" x14ac:dyDescent="0.4">
      <c r="A22" s="381"/>
      <c r="B22" s="383"/>
      <c r="C22" s="238" t="str">
        <f>IF(OR(R21=2),"変更後","")</f>
        <v/>
      </c>
      <c r="D22" s="142"/>
      <c r="E22" s="241"/>
      <c r="F22" s="241"/>
      <c r="G22" s="241"/>
      <c r="H22" s="241"/>
      <c r="I22" s="241"/>
      <c r="J22" s="241"/>
      <c r="K22" s="241"/>
      <c r="L22" s="244"/>
      <c r="M22" s="226" t="str">
        <f>IF(AND(V22&lt;&gt;"",L22&lt;&gt;"",R21=2),IFERROR(VLOOKUP(V22,競技一覧!$T$5:$Z$50,3+VLOOKUP(L22,リスト!$H$2:$I$5,2,FALSE),FALSE),""),"")</f>
        <v/>
      </c>
      <c r="N22" s="307"/>
      <c r="O22" s="12" t="s">
        <v>11</v>
      </c>
      <c r="P22" s="234"/>
      <c r="R22" s="99" t="str">
        <f>R21</f>
        <v/>
      </c>
      <c r="S22" s="99" t="str">
        <f>$Y$10</f>
        <v>W10</v>
      </c>
      <c r="T22" s="99" t="str">
        <f>IF(R21=2,$Y$7,$Y$10)</f>
        <v>W10</v>
      </c>
      <c r="U22" s="99"/>
      <c r="V22" s="99" t="str">
        <f>IF(AND(E22&lt;&gt;"",E22&lt;&gt;"-"),VLOOKUP(E22,競技一覧!$P$5:$T$50,5,FALSE),"")</f>
        <v/>
      </c>
      <c r="W22" s="99" t="str">
        <f>IF(OR(R22=2),$Y$8,$Y$10)</f>
        <v>W10</v>
      </c>
      <c r="X22" s="99"/>
      <c r="Y22" s="99"/>
      <c r="Z22" s="99" t="str">
        <f>IF(R22=2,$AB$9,IF(R22=4,$AE$7,$Y$10))</f>
        <v>W10</v>
      </c>
      <c r="AA22" s="99" t="str">
        <f>IF(AND(F22&lt;&gt;"",F22&lt;&gt;"-",R22=2),VLOOKUP(F22,選手登録!$L$7:$M$31,2,FALSE),"-")</f>
        <v>-</v>
      </c>
      <c r="AB22" s="99" t="str">
        <f ca="1">IF(OR(R22=2),CELL("address",AC22),IF(OR(R22=4,R22=5),"",$Y$10))</f>
        <v>W10</v>
      </c>
      <c r="AC22" s="99" t="str">
        <f>IF(AND(F22&lt;&gt;"",F22&lt;&gt;"-",R22=2),VLOOKUP(F22,選手登録!$L$7:$N$31,3,FALSE),"-")</f>
        <v>-</v>
      </c>
      <c r="AD22" s="99" t="str">
        <f>IF(OR(R22=2),$Y$9,IF(R22=5,"",$Y$10))</f>
        <v>W10</v>
      </c>
      <c r="AE22" s="99" t="str">
        <f>IF(AND(D22&lt;&gt;"",D22&lt;&gt;"-",OR(R22=2,R22=3)),VLOOKUP(D22,エントリー!$A$6:$K$85,8,TRUE),$Y$10)</f>
        <v>W10</v>
      </c>
      <c r="AF22" s="99" t="str">
        <f>IF(R22=2,VLOOKUP(V22,競技一覧!$T$5:$AA$50,8,TRUE),$Y$10)</f>
        <v>W10</v>
      </c>
      <c r="AG22" s="99"/>
      <c r="AH22" s="99"/>
      <c r="AJ22" s="99" t="str">
        <f t="shared" si="0"/>
        <v/>
      </c>
      <c r="AK22" s="99" t="str">
        <f t="shared" si="1"/>
        <v/>
      </c>
      <c r="AL22" s="99" t="str">
        <f>IF(F22&lt;&gt;"",IFERROR(VLOOKUP(AH22,選手登録!$L$7:$O$56,4,FALSE),""),"")</f>
        <v/>
      </c>
      <c r="AM22" s="99" t="str">
        <f>IF(K22&lt;&gt;"",IFERROR(VLOOKUP(K22,馬匹登録!$B$8:$G$54,6,FALSE),""),"")</f>
        <v/>
      </c>
      <c r="AN22" s="99" t="str">
        <f>IFERROR(VLOOKUP(L22,リスト!$H$2:$I$5,2,FALSE),"")</f>
        <v/>
      </c>
      <c r="AO22" s="99" t="str">
        <f t="shared" si="2"/>
        <v/>
      </c>
      <c r="AP22" s="99" t="str">
        <f t="shared" si="3"/>
        <v/>
      </c>
      <c r="AQ22" s="99" t="str">
        <f t="shared" si="4"/>
        <v/>
      </c>
      <c r="AR22" s="99" t="str">
        <f t="shared" si="5"/>
        <v/>
      </c>
      <c r="AS22" s="99" t="str">
        <f t="shared" si="6"/>
        <v/>
      </c>
      <c r="AT22" s="99" t="str">
        <f t="shared" si="7"/>
        <v/>
      </c>
      <c r="AU22" s="99">
        <f t="shared" si="8"/>
        <v>0</v>
      </c>
      <c r="AV22" s="99" t="str">
        <f t="shared" si="9"/>
        <v>-</v>
      </c>
      <c r="AW22" s="99" t="str">
        <f t="shared" si="10"/>
        <v/>
      </c>
      <c r="AX22" s="99"/>
      <c r="AZ22" s="99">
        <f t="shared" si="19"/>
        <v>0</v>
      </c>
      <c r="BA22" s="99" t="str">
        <f t="shared" si="12"/>
        <v/>
      </c>
      <c r="BB22" s="99">
        <f t="shared" si="13"/>
        <v>0</v>
      </c>
      <c r="BC22" s="99" t="str">
        <f t="shared" si="14"/>
        <v/>
      </c>
      <c r="BD22" s="99" t="str">
        <f t="shared" si="15"/>
        <v/>
      </c>
      <c r="BF22" s="99">
        <f t="shared" si="20"/>
        <v>0</v>
      </c>
      <c r="BG22" s="99"/>
      <c r="BH22" s="99">
        <f t="shared" si="16"/>
        <v>0</v>
      </c>
      <c r="BI22" s="99" t="str">
        <f t="shared" si="17"/>
        <v/>
      </c>
      <c r="BJ22" s="99" t="str">
        <f t="shared" si="18"/>
        <v/>
      </c>
    </row>
    <row r="23" spans="1:62" ht="22.5" customHeight="1" x14ac:dyDescent="0.4">
      <c r="A23" s="380">
        <v>5</v>
      </c>
      <c r="B23" s="382"/>
      <c r="C23" s="237" t="str">
        <f>IF(OR(R23=2),"変更前","")</f>
        <v/>
      </c>
      <c r="D23" s="141"/>
      <c r="E23" s="240"/>
      <c r="F23" s="240"/>
      <c r="G23" s="240"/>
      <c r="H23" s="240"/>
      <c r="I23" s="240"/>
      <c r="J23" s="240"/>
      <c r="K23" s="240"/>
      <c r="L23" s="243"/>
      <c r="M23" s="227" t="str">
        <f>IF(AND(V23&lt;&gt;"",L23&lt;&gt;"",OR(R23=1,R23=2,R23=3)),IFERROR(VLOOKUP(V23,競技一覧!$T$5:$Z$50,3+VLOOKUP(L23,リスト!$H$2:$I$5,2,FALSE),FALSE) * IF(R23=1,1,-1),""),IF(R23=5,設定!$B$13,IF(R23=6,-1*設定!$B$13,"")))</f>
        <v/>
      </c>
      <c r="N23" s="377" t="str">
        <f>IF($B23&lt;&gt;"",IFERROR(VALUE(M24),0)+IFERROR(VALUE(M23),0),"")</f>
        <v/>
      </c>
      <c r="O23" s="9" t="str">
        <f>IF(OR($R23=1,$R23=2,$R23=3),設定!$B$14,IF($B23&lt;&gt;"",0,""))</f>
        <v/>
      </c>
      <c r="P23" s="233"/>
      <c r="R23" s="99" t="str">
        <f>IF(B23&lt;&gt;"",VLOOKUP(B23,リスト!$N$2:$O$9,2,FALSE),"")</f>
        <v/>
      </c>
      <c r="S23" s="99" t="str">
        <f>IF(OR(R23=2,R23=3),$AB$7,$Y$10)</f>
        <v>W10</v>
      </c>
      <c r="T23" s="99" t="str">
        <f ca="1">IF(OR(R23=2,R23=3),CELL("address",U23),IF(R23=1,$Y$7,$Y$10))</f>
        <v>W10</v>
      </c>
      <c r="U23" s="99" t="str">
        <f>IF(AND(OR(R23=2, R23=3),D23&lt;&gt;"",D23&lt;&gt;"-"),VLOOKUP(D23,エントリー!$A$6:$K$85,6,TRUE),"-")</f>
        <v>-</v>
      </c>
      <c r="V23" s="99" t="str">
        <f>IF(AND(E23&lt;&gt;"",E23&lt;&gt;"-"),VLOOKUP(E23,競技一覧!$P$5:$T$50,5,FALSE),"")</f>
        <v/>
      </c>
      <c r="W23" s="99" t="str">
        <f ca="1">IF(OR(R23=2,R23=3),CELL("address",X23),IF(OR(R23=4),CELL("address",Y23),IF(R23=1,$Y$8,$Y$10)))</f>
        <v>W10</v>
      </c>
      <c r="X23" s="99" t="str">
        <f>IF(AND(D23&lt;&gt;"",D23&lt;&gt;"-"),VLOOKUP(D23,エントリー!$A$6:$K$85,7,TRUE),"-")</f>
        <v>-</v>
      </c>
      <c r="Y23" s="99" t="str">
        <f>IF(R23=4,G23 &amp; " " &amp; H23,"")</f>
        <v/>
      </c>
      <c r="Z23" s="99" t="str">
        <f ca="1">IF(R23=4,$AB$9,IF(OR(R23=1,R23=2,R23=3),CELL("address",AA23),$Y$10))</f>
        <v>W10</v>
      </c>
      <c r="AA23" s="99" t="str">
        <f>IF(AND(F23&lt;&gt;"",F23&lt;&gt;"-",OR(R23=1,R23=2,R23=3)),VLOOKUP(F23,選手登録!$L$7:$M$31,2,FALSE),"-")</f>
        <v>-</v>
      </c>
      <c r="AB23" s="99" t="str">
        <f ca="1">IF(OR(R23=1,R23=2,R23=3),CELL("address",AC23),IF(OR(R23=4),$AB$10,$Y$10))</f>
        <v>W10</v>
      </c>
      <c r="AC23" s="99" t="str">
        <f>IF(AND(F23&lt;&gt;"",F23&lt;&gt;"-",OR(R23=1,R23=2,R23=3)),VLOOKUP(F23,選手登録!$L$7:$N$31,3,FALSE),"-")</f>
        <v>-</v>
      </c>
      <c r="AD23" s="99" t="str">
        <f ca="1">IF(OR(R23=2,R23=3),CELL("address",AE23),IF(OR(R23=1,R23=6),$Y$9,IF(R23=5,"",$Y$10)))</f>
        <v>W10</v>
      </c>
      <c r="AE23" s="99" t="str">
        <f>IF(AND(D23&lt;&gt;"",D23&lt;&gt;"-",OR(R23=2,R23=3)),VLOOKUP(D23,エントリー!$A$6:$K$85,8,TRUE),$Y$10)</f>
        <v>W10</v>
      </c>
      <c r="AF23" s="99" t="str">
        <f ca="1">IF(OR(R23=2,R23=3),CELL("address",AG23),IF(R23=1,VLOOKUP(V23,競技一覧!$T$5:$AA$50,8,TRUE),$Y$10))</f>
        <v>W10</v>
      </c>
      <c r="AG23" s="99" t="str">
        <f>IF(AND(OR(R23=2,R23=3),D23&lt;&gt;"",D23&lt;&gt;"-"),VLOOKUP(D23,エントリー!$A$6:$J$85,10,TRUE),$X$10)</f>
        <v>-</v>
      </c>
      <c r="AH23" s="99" t="str">
        <f>IF(F23&lt;&gt;"",F23,IF(Y23&lt;&gt;"",Y23,""))</f>
        <v/>
      </c>
      <c r="AJ23" s="99" t="str">
        <f t="shared" si="0"/>
        <v/>
      </c>
      <c r="AK23" s="99" t="str">
        <f t="shared" si="1"/>
        <v/>
      </c>
      <c r="AL23" s="99" t="str">
        <f>IF(F23&lt;&gt;"",IFERROR(VLOOKUP(AH23,選手登録!$L$7:$O$56,4,FALSE),""),"")</f>
        <v/>
      </c>
      <c r="AM23" s="99" t="str">
        <f>IF(K23&lt;&gt;"",IFERROR(VLOOKUP(K23,馬匹登録!$B$8:$G$54,6,FALSE),""),"")</f>
        <v/>
      </c>
      <c r="AN23" s="99" t="str">
        <f>IFERROR(VLOOKUP(L23,リスト!$H$2:$I$5,2,FALSE),"")</f>
        <v/>
      </c>
      <c r="AO23" s="99" t="str">
        <f t="shared" si="2"/>
        <v/>
      </c>
      <c r="AP23" s="99" t="str">
        <f t="shared" si="3"/>
        <v/>
      </c>
      <c r="AQ23" s="99" t="str">
        <f t="shared" si="4"/>
        <v/>
      </c>
      <c r="AR23" s="99" t="str">
        <f t="shared" si="5"/>
        <v/>
      </c>
      <c r="AS23" s="99" t="str">
        <f t="shared" si="6"/>
        <v/>
      </c>
      <c r="AT23" s="99" t="str">
        <f t="shared" si="7"/>
        <v/>
      </c>
      <c r="AU23" s="99" t="str">
        <f t="shared" si="8"/>
        <v/>
      </c>
      <c r="AV23" s="99" t="str">
        <f t="shared" si="9"/>
        <v/>
      </c>
      <c r="AW23" s="99" t="str">
        <f t="shared" si="10"/>
        <v/>
      </c>
      <c r="AX23" s="99"/>
      <c r="AZ23" s="99">
        <f t="shared" si="19"/>
        <v>0</v>
      </c>
      <c r="BA23" s="99" t="str">
        <f t="shared" si="12"/>
        <v/>
      </c>
      <c r="BB23" s="99">
        <f t="shared" si="13"/>
        <v>5</v>
      </c>
      <c r="BC23" s="99" t="str">
        <f t="shared" si="14"/>
        <v/>
      </c>
      <c r="BD23" s="99" t="str">
        <f t="shared" si="15"/>
        <v/>
      </c>
      <c r="BF23" s="99">
        <f t="shared" si="20"/>
        <v>0</v>
      </c>
      <c r="BG23" s="99" t="str">
        <f t="shared" si="21"/>
        <v/>
      </c>
      <c r="BH23" s="99">
        <f t="shared" si="16"/>
        <v>5</v>
      </c>
      <c r="BI23" s="99" t="str">
        <f t="shared" si="17"/>
        <v/>
      </c>
      <c r="BJ23" s="99" t="str">
        <f t="shared" si="18"/>
        <v/>
      </c>
    </row>
    <row r="24" spans="1:62" ht="22.5" customHeight="1" x14ac:dyDescent="0.4">
      <c r="A24" s="381"/>
      <c r="B24" s="383"/>
      <c r="C24" s="238" t="str">
        <f>IF(OR(R23=2),"変更後","")</f>
        <v/>
      </c>
      <c r="D24" s="142"/>
      <c r="E24" s="241"/>
      <c r="F24" s="241"/>
      <c r="G24" s="241"/>
      <c r="H24" s="241"/>
      <c r="I24" s="241"/>
      <c r="J24" s="241"/>
      <c r="K24" s="241"/>
      <c r="L24" s="244"/>
      <c r="M24" s="226" t="str">
        <f>IF(AND(V24&lt;&gt;"",L24&lt;&gt;"",R23=2),IFERROR(VLOOKUP(V24,競技一覧!$T$5:$Z$50,3+VLOOKUP(L24,リスト!$H$2:$I$5,2,FALSE),FALSE),""),"")</f>
        <v/>
      </c>
      <c r="N24" s="307"/>
      <c r="O24" s="12" t="s">
        <v>11</v>
      </c>
      <c r="P24" s="234"/>
      <c r="R24" s="99" t="str">
        <f>R23</f>
        <v/>
      </c>
      <c r="S24" s="99" t="str">
        <f>$Y$10</f>
        <v>W10</v>
      </c>
      <c r="T24" s="99" t="str">
        <f>IF(R23=2,$Y$7,$Y$10)</f>
        <v>W10</v>
      </c>
      <c r="U24" s="99"/>
      <c r="V24" s="99" t="str">
        <f>IF(AND(E24&lt;&gt;"",E24&lt;&gt;"-"),VLOOKUP(E24,競技一覧!$P$5:$T$50,5,FALSE),"")</f>
        <v/>
      </c>
      <c r="W24" s="99" t="str">
        <f>IF(OR(R24=2),$Y$8,$Y$10)</f>
        <v>W10</v>
      </c>
      <c r="X24" s="99"/>
      <c r="Y24" s="99"/>
      <c r="Z24" s="99" t="str">
        <f>IF(R24=2,$AB$9,IF(R24=4,$AE$7,$Y$10))</f>
        <v>W10</v>
      </c>
      <c r="AA24" s="99" t="str">
        <f>IF(AND(F24&lt;&gt;"",F24&lt;&gt;"-",R24=2),VLOOKUP(F24,選手登録!$L$7:$M$31,2,FALSE),"-")</f>
        <v>-</v>
      </c>
      <c r="AB24" s="99" t="str">
        <f ca="1">IF(OR(R24=2),CELL("address",AC24),IF(OR(R24=4,R24=5),"",$Y$10))</f>
        <v>W10</v>
      </c>
      <c r="AC24" s="99" t="str">
        <f>IF(AND(F24&lt;&gt;"",F24&lt;&gt;"-",R24=2),VLOOKUP(F24,選手登録!$L$7:$N$31,3,FALSE),"-")</f>
        <v>-</v>
      </c>
      <c r="AD24" s="99" t="str">
        <f>IF(OR(R24=2),$Y$9,IF(R24=5,"",$Y$10))</f>
        <v>W10</v>
      </c>
      <c r="AE24" s="99" t="str">
        <f>IF(AND(D24&lt;&gt;"",D24&lt;&gt;"-",OR(R24=2,R24=3)),VLOOKUP(D24,エントリー!$A$6:$K$85,8,TRUE),$Y$10)</f>
        <v>W10</v>
      </c>
      <c r="AF24" s="99" t="str">
        <f>IF(R24=2,VLOOKUP(V24,競技一覧!$T$5:$AA$50,8,TRUE),$Y$10)</f>
        <v>W10</v>
      </c>
      <c r="AG24" s="99"/>
      <c r="AH24" s="99"/>
      <c r="AJ24" s="99" t="str">
        <f t="shared" si="0"/>
        <v/>
      </c>
      <c r="AK24" s="99" t="str">
        <f t="shared" si="1"/>
        <v/>
      </c>
      <c r="AL24" s="99" t="str">
        <f>IF(F24&lt;&gt;"",IFERROR(VLOOKUP(AH24,選手登録!$L$7:$O$56,4,FALSE),""),"")</f>
        <v/>
      </c>
      <c r="AM24" s="99" t="str">
        <f>IF(K24&lt;&gt;"",IFERROR(VLOOKUP(K24,馬匹登録!$B$8:$G$54,6,FALSE),""),"")</f>
        <v/>
      </c>
      <c r="AN24" s="99" t="str">
        <f>IFERROR(VLOOKUP(L24,リスト!$H$2:$I$5,2,FALSE),"")</f>
        <v/>
      </c>
      <c r="AO24" s="99" t="str">
        <f t="shared" si="2"/>
        <v/>
      </c>
      <c r="AP24" s="99" t="str">
        <f t="shared" si="3"/>
        <v/>
      </c>
      <c r="AQ24" s="99" t="str">
        <f t="shared" si="4"/>
        <v/>
      </c>
      <c r="AR24" s="99" t="str">
        <f t="shared" si="5"/>
        <v/>
      </c>
      <c r="AS24" s="99" t="str">
        <f t="shared" si="6"/>
        <v/>
      </c>
      <c r="AT24" s="99" t="str">
        <f t="shared" si="7"/>
        <v/>
      </c>
      <c r="AU24" s="99">
        <f t="shared" si="8"/>
        <v>0</v>
      </c>
      <c r="AV24" s="99" t="str">
        <f t="shared" si="9"/>
        <v>-</v>
      </c>
      <c r="AW24" s="99" t="str">
        <f t="shared" si="10"/>
        <v/>
      </c>
      <c r="AX24" s="99"/>
      <c r="AZ24" s="99">
        <f t="shared" si="19"/>
        <v>0</v>
      </c>
      <c r="BA24" s="99" t="str">
        <f t="shared" si="12"/>
        <v/>
      </c>
      <c r="BB24" s="99">
        <f t="shared" si="13"/>
        <v>0</v>
      </c>
      <c r="BC24" s="99" t="str">
        <f t="shared" si="14"/>
        <v/>
      </c>
      <c r="BD24" s="99" t="str">
        <f t="shared" si="15"/>
        <v/>
      </c>
      <c r="BF24" s="99">
        <f t="shared" si="20"/>
        <v>0</v>
      </c>
      <c r="BG24" s="99"/>
      <c r="BH24" s="99">
        <f t="shared" si="16"/>
        <v>0</v>
      </c>
      <c r="BI24" s="99" t="str">
        <f t="shared" si="17"/>
        <v/>
      </c>
      <c r="BJ24" s="99" t="str">
        <f t="shared" si="18"/>
        <v/>
      </c>
    </row>
    <row r="25" spans="1:62" ht="22.5" customHeight="1" x14ac:dyDescent="0.4">
      <c r="A25" s="380">
        <v>6</v>
      </c>
      <c r="B25" s="382"/>
      <c r="C25" s="237" t="str">
        <f>IF(OR(R25=2),"変更前","")</f>
        <v/>
      </c>
      <c r="D25" s="141"/>
      <c r="E25" s="240"/>
      <c r="F25" s="240"/>
      <c r="G25" s="240"/>
      <c r="H25" s="240"/>
      <c r="I25" s="240"/>
      <c r="J25" s="240"/>
      <c r="K25" s="240"/>
      <c r="L25" s="243"/>
      <c r="M25" s="227" t="str">
        <f>IF(AND(V25&lt;&gt;"",L25&lt;&gt;"",OR(R25=1,R25=2,R25=3)),IFERROR(VLOOKUP(V25,競技一覧!$T$5:$Z$50,3+VLOOKUP(L25,リスト!$H$2:$I$5,2,FALSE),FALSE) * IF(R25=1,1,-1),""),IF(R25=5,設定!$B$13,IF(R25=6,-1*設定!$B$13,"")))</f>
        <v/>
      </c>
      <c r="N25" s="377" t="str">
        <f>IF($B25&lt;&gt;"",IFERROR(VALUE(M26),0)+IFERROR(VALUE(M25),0),"")</f>
        <v/>
      </c>
      <c r="O25" s="9" t="str">
        <f>IF(OR($R25=1,$R25=2,$R25=3),設定!$B$14,IF($B25&lt;&gt;"",0,""))</f>
        <v/>
      </c>
      <c r="P25" s="233"/>
      <c r="R25" s="99" t="str">
        <f>IF(B25&lt;&gt;"",VLOOKUP(B25,リスト!$N$2:$O$9,2,FALSE),"")</f>
        <v/>
      </c>
      <c r="S25" s="99" t="str">
        <f>IF(OR(R25=2,R25=3),$AB$7,$Y$10)</f>
        <v>W10</v>
      </c>
      <c r="T25" s="99" t="str">
        <f ca="1">IF(OR(R25=2,R25=3),CELL("address",U25),IF(R25=1,$Y$7,$Y$10))</f>
        <v>W10</v>
      </c>
      <c r="U25" s="99" t="str">
        <f>IF(AND(OR(R25=2, R25=3),D25&lt;&gt;"",D25&lt;&gt;"-"),VLOOKUP(D25,エントリー!$A$6:$K$85,6,TRUE),"-")</f>
        <v>-</v>
      </c>
      <c r="V25" s="99" t="str">
        <f>IF(AND(E25&lt;&gt;"",E25&lt;&gt;"-"),VLOOKUP(E25,競技一覧!$P$5:$T$50,5,FALSE),"")</f>
        <v/>
      </c>
      <c r="W25" s="99" t="str">
        <f ca="1">IF(OR(R25=2,R25=3),CELL("address",X25),IF(OR(R25=4),CELL("address",Y25),IF(R25=1,$Y$8,$Y$10)))</f>
        <v>W10</v>
      </c>
      <c r="X25" s="99" t="str">
        <f>IF(AND(D25&lt;&gt;"",D25&lt;&gt;"-"),VLOOKUP(D25,エントリー!$A$6:$K$85,7,TRUE),"-")</f>
        <v>-</v>
      </c>
      <c r="Y25" s="99" t="str">
        <f>IF(R25=4,G25 &amp; " " &amp; H25,"")</f>
        <v/>
      </c>
      <c r="Z25" s="99" t="str">
        <f ca="1">IF(R25=4,$AB$9,IF(OR(R25=1,R25=2,R25=3),CELL("address",AA25),$Y$10))</f>
        <v>W10</v>
      </c>
      <c r="AA25" s="99" t="str">
        <f>IF(AND(F25&lt;&gt;"",F25&lt;&gt;"-",OR(R25=1,R25=2,R25=3)),VLOOKUP(F25,選手登録!$L$7:$M$31,2,FALSE),"-")</f>
        <v>-</v>
      </c>
      <c r="AB25" s="99" t="str">
        <f ca="1">IF(OR(R25=1,R25=2,R25=3),CELL("address",AC25),IF(OR(R25=4),$AB$10,$Y$10))</f>
        <v>W10</v>
      </c>
      <c r="AC25" s="99" t="str">
        <f>IF(AND(F25&lt;&gt;"",F25&lt;&gt;"-",OR(R25=1,R25=2,R25=3)),VLOOKUP(F25,選手登録!$L$7:$N$31,3,FALSE),"-")</f>
        <v>-</v>
      </c>
      <c r="AD25" s="99" t="str">
        <f ca="1">IF(OR(R25=2,R25=3),CELL("address",AE25),IF(OR(R25=1,R25=6),$Y$9,IF(R25=5,"",$Y$10)))</f>
        <v>W10</v>
      </c>
      <c r="AE25" s="99" t="str">
        <f>IF(AND(D25&lt;&gt;"",D25&lt;&gt;"-",OR(R25=2,R25=3)),VLOOKUP(D25,エントリー!$A$6:$K$85,8,TRUE),$Y$10)</f>
        <v>W10</v>
      </c>
      <c r="AF25" s="99" t="str">
        <f ca="1">IF(OR(R25=2,R25=3),CELL("address",AG25),IF(R25=1,VLOOKUP(V25,競技一覧!$T$5:$AA$50,8,TRUE),$Y$10))</f>
        <v>W10</v>
      </c>
      <c r="AG25" s="99" t="str">
        <f>IF(AND(OR(R25=2,R25=3),D25&lt;&gt;"",D25&lt;&gt;"-"),VLOOKUP(D25,エントリー!$A$6:$J$85,10,TRUE),$X$10)</f>
        <v>-</v>
      </c>
      <c r="AH25" s="99" t="str">
        <f>IF(F25&lt;&gt;"",F25,IF(Y25&lt;&gt;"",Y25,""))</f>
        <v/>
      </c>
      <c r="AJ25" s="99" t="str">
        <f t="shared" si="0"/>
        <v/>
      </c>
      <c r="AK25" s="99" t="str">
        <f t="shared" si="1"/>
        <v/>
      </c>
      <c r="AL25" s="99" t="str">
        <f>IF(F25&lt;&gt;"",IFERROR(VLOOKUP(AH25,選手登録!$L$7:$O$56,4,FALSE),""),"")</f>
        <v/>
      </c>
      <c r="AM25" s="99" t="str">
        <f>IF(K25&lt;&gt;"",IFERROR(VLOOKUP(K25,馬匹登録!$B$8:$G$54,6,FALSE),""),"")</f>
        <v/>
      </c>
      <c r="AN25" s="99" t="str">
        <f>IFERROR(VLOOKUP(L25,リスト!$H$2:$I$5,2,FALSE),"")</f>
        <v/>
      </c>
      <c r="AO25" s="99" t="str">
        <f t="shared" si="2"/>
        <v/>
      </c>
      <c r="AP25" s="99" t="str">
        <f t="shared" si="3"/>
        <v/>
      </c>
      <c r="AQ25" s="99" t="str">
        <f t="shared" si="4"/>
        <v/>
      </c>
      <c r="AR25" s="99" t="str">
        <f t="shared" si="5"/>
        <v/>
      </c>
      <c r="AS25" s="99" t="str">
        <f t="shared" si="6"/>
        <v/>
      </c>
      <c r="AT25" s="99" t="str">
        <f t="shared" si="7"/>
        <v/>
      </c>
      <c r="AU25" s="99" t="str">
        <f t="shared" si="8"/>
        <v/>
      </c>
      <c r="AV25" s="99" t="str">
        <f t="shared" si="9"/>
        <v/>
      </c>
      <c r="AW25" s="99" t="str">
        <f t="shared" si="10"/>
        <v/>
      </c>
      <c r="AX25" s="99"/>
      <c r="AZ25" s="99">
        <f t="shared" si="19"/>
        <v>0</v>
      </c>
      <c r="BA25" s="99" t="str">
        <f t="shared" si="12"/>
        <v/>
      </c>
      <c r="BB25" s="99">
        <f t="shared" si="13"/>
        <v>6</v>
      </c>
      <c r="BC25" s="99" t="str">
        <f t="shared" si="14"/>
        <v/>
      </c>
      <c r="BD25" s="99" t="str">
        <f t="shared" si="15"/>
        <v/>
      </c>
      <c r="BF25" s="99">
        <f t="shared" si="20"/>
        <v>0</v>
      </c>
      <c r="BG25" s="99" t="str">
        <f t="shared" si="21"/>
        <v/>
      </c>
      <c r="BH25" s="99">
        <f t="shared" si="16"/>
        <v>6</v>
      </c>
      <c r="BI25" s="99" t="str">
        <f t="shared" si="17"/>
        <v/>
      </c>
      <c r="BJ25" s="99" t="str">
        <f t="shared" si="18"/>
        <v/>
      </c>
    </row>
    <row r="26" spans="1:62" ht="22.5" customHeight="1" x14ac:dyDescent="0.4">
      <c r="A26" s="381"/>
      <c r="B26" s="383"/>
      <c r="C26" s="238" t="str">
        <f>IF(OR(R25=2),"変更後","")</f>
        <v/>
      </c>
      <c r="D26" s="142"/>
      <c r="E26" s="241"/>
      <c r="F26" s="241"/>
      <c r="G26" s="241"/>
      <c r="H26" s="241"/>
      <c r="I26" s="241"/>
      <c r="J26" s="241"/>
      <c r="K26" s="241"/>
      <c r="L26" s="244"/>
      <c r="M26" s="226" t="str">
        <f>IF(AND(V26&lt;&gt;"",L26&lt;&gt;"",R25=2),IFERROR(VLOOKUP(V26,競技一覧!$T$5:$Z$50,3+VLOOKUP(L26,リスト!$H$2:$I$5,2,FALSE),FALSE),""),"")</f>
        <v/>
      </c>
      <c r="N26" s="307"/>
      <c r="O26" s="12" t="s">
        <v>11</v>
      </c>
      <c r="P26" s="234"/>
      <c r="R26" s="99" t="str">
        <f>R25</f>
        <v/>
      </c>
      <c r="S26" s="99" t="str">
        <f>$Y$10</f>
        <v>W10</v>
      </c>
      <c r="T26" s="99" t="str">
        <f>IF(R25=2,$Y$7,$Y$10)</f>
        <v>W10</v>
      </c>
      <c r="U26" s="99"/>
      <c r="V26" s="99" t="str">
        <f>IF(AND(E26&lt;&gt;"",E26&lt;&gt;"-"),VLOOKUP(E26,競技一覧!$P$5:$T$50,5,FALSE),"")</f>
        <v/>
      </c>
      <c r="W26" s="99" t="str">
        <f>IF(OR(R26=2),$Y$8,$Y$10)</f>
        <v>W10</v>
      </c>
      <c r="X26" s="99"/>
      <c r="Y26" s="99"/>
      <c r="Z26" s="99" t="str">
        <f>IF(R26=2,$AB$9,IF(R26=4,$AE$7,$Y$10))</f>
        <v>W10</v>
      </c>
      <c r="AA26" s="99" t="str">
        <f>IF(AND(F26&lt;&gt;"",F26&lt;&gt;"-",R26=2),VLOOKUP(F26,選手登録!$L$7:$M$31,2,FALSE),"-")</f>
        <v>-</v>
      </c>
      <c r="AB26" s="99" t="str">
        <f ca="1">IF(OR(R26=2),CELL("address",AC26),IF(OR(R26=4,R26=5),"",$Y$10))</f>
        <v>W10</v>
      </c>
      <c r="AC26" s="99" t="str">
        <f>IF(AND(F26&lt;&gt;"",F26&lt;&gt;"-",R26=2),VLOOKUP(F26,選手登録!$L$7:$N$31,3,FALSE),"-")</f>
        <v>-</v>
      </c>
      <c r="AD26" s="99" t="str">
        <f>IF(OR(R26=2),$Y$9,IF(R26=5,"",$Y$10))</f>
        <v>W10</v>
      </c>
      <c r="AE26" s="99" t="str">
        <f>IF(AND(D26&lt;&gt;"",D26&lt;&gt;"-",OR(R26=2,R26=3)),VLOOKUP(D26,エントリー!$A$6:$K$85,8,TRUE),$Y$10)</f>
        <v>W10</v>
      </c>
      <c r="AF26" s="99" t="str">
        <f>IF(R26=2,VLOOKUP(V26,競技一覧!$T$5:$AA$50,8,TRUE),$Y$10)</f>
        <v>W10</v>
      </c>
      <c r="AG26" s="99"/>
      <c r="AH26" s="99"/>
      <c r="AJ26" s="99" t="str">
        <f t="shared" si="0"/>
        <v/>
      </c>
      <c r="AK26" s="99" t="str">
        <f t="shared" si="1"/>
        <v/>
      </c>
      <c r="AL26" s="99" t="str">
        <f>IF(F26&lt;&gt;"",IFERROR(VLOOKUP(AH26,選手登録!$L$7:$O$56,4,FALSE),""),"")</f>
        <v/>
      </c>
      <c r="AM26" s="99" t="str">
        <f>IF(K26&lt;&gt;"",IFERROR(VLOOKUP(K26,馬匹登録!$B$8:$G$54,6,FALSE),""),"")</f>
        <v/>
      </c>
      <c r="AN26" s="99" t="str">
        <f>IFERROR(VLOOKUP(L26,リスト!$H$2:$I$5,2,FALSE),"")</f>
        <v/>
      </c>
      <c r="AO26" s="99" t="str">
        <f t="shared" si="2"/>
        <v/>
      </c>
      <c r="AP26" s="99" t="str">
        <f t="shared" si="3"/>
        <v/>
      </c>
      <c r="AQ26" s="99" t="str">
        <f t="shared" si="4"/>
        <v/>
      </c>
      <c r="AR26" s="99" t="str">
        <f t="shared" si="5"/>
        <v/>
      </c>
      <c r="AS26" s="99" t="str">
        <f t="shared" si="6"/>
        <v/>
      </c>
      <c r="AT26" s="99" t="str">
        <f t="shared" si="7"/>
        <v/>
      </c>
      <c r="AU26" s="99">
        <f t="shared" si="8"/>
        <v>0</v>
      </c>
      <c r="AV26" s="99" t="str">
        <f t="shared" si="9"/>
        <v>-</v>
      </c>
      <c r="AW26" s="99" t="str">
        <f t="shared" si="10"/>
        <v/>
      </c>
      <c r="AX26" s="99"/>
      <c r="AZ26" s="99">
        <f t="shared" si="19"/>
        <v>0</v>
      </c>
      <c r="BA26" s="99" t="str">
        <f t="shared" si="12"/>
        <v/>
      </c>
      <c r="BB26" s="99">
        <f t="shared" si="13"/>
        <v>0</v>
      </c>
      <c r="BC26" s="99" t="str">
        <f t="shared" si="14"/>
        <v/>
      </c>
      <c r="BD26" s="99" t="str">
        <f t="shared" si="15"/>
        <v/>
      </c>
      <c r="BF26" s="99">
        <f t="shared" si="20"/>
        <v>0</v>
      </c>
      <c r="BG26" s="99"/>
      <c r="BH26" s="99">
        <f t="shared" si="16"/>
        <v>0</v>
      </c>
      <c r="BI26" s="99" t="str">
        <f t="shared" si="17"/>
        <v/>
      </c>
      <c r="BJ26" s="99" t="str">
        <f t="shared" si="18"/>
        <v/>
      </c>
    </row>
    <row r="27" spans="1:62" ht="22.5" customHeight="1" x14ac:dyDescent="0.4">
      <c r="A27" s="380">
        <v>7</v>
      </c>
      <c r="B27" s="382"/>
      <c r="C27" s="237" t="str">
        <f>IF(OR(R27=2),"変更前","")</f>
        <v/>
      </c>
      <c r="D27" s="141"/>
      <c r="E27" s="240"/>
      <c r="F27" s="240"/>
      <c r="G27" s="240"/>
      <c r="H27" s="240"/>
      <c r="I27" s="240"/>
      <c r="J27" s="240"/>
      <c r="K27" s="240"/>
      <c r="L27" s="243"/>
      <c r="M27" s="227" t="str">
        <f>IF(AND(V27&lt;&gt;"",L27&lt;&gt;"",OR(R27=1,R27=2,R27=3)),IFERROR(VLOOKUP(V27,競技一覧!$T$5:$Z$50,3+VLOOKUP(L27,リスト!$H$2:$I$5,2,FALSE),FALSE) * IF(R27=1,1,-1),""),IF(R27=5,設定!$B$13,IF(R27=6,-1*設定!$B$13,"")))</f>
        <v/>
      </c>
      <c r="N27" s="377" t="str">
        <f>IF($B27&lt;&gt;"",IFERROR(VALUE(M28),0)+IFERROR(VALUE(M27),0),"")</f>
        <v/>
      </c>
      <c r="O27" s="9" t="str">
        <f>IF(OR($R27=1,$R27=2,$R27=3),設定!$B$14,IF($B27&lt;&gt;"",0,""))</f>
        <v/>
      </c>
      <c r="P27" s="233"/>
      <c r="R27" s="99" t="str">
        <f>IF(B27&lt;&gt;"",VLOOKUP(B27,リスト!$N$2:$O$9,2,FALSE),"")</f>
        <v/>
      </c>
      <c r="S27" s="99" t="str">
        <f>IF(OR(R27=2,R27=3),$AB$7,$Y$10)</f>
        <v>W10</v>
      </c>
      <c r="T27" s="99" t="str">
        <f ca="1">IF(OR(R27=2,R27=3),CELL("address",U27),IF(R27=1,$Y$7,$Y$10))</f>
        <v>W10</v>
      </c>
      <c r="U27" s="99" t="str">
        <f>IF(AND(OR(R27=2, R27=3),D27&lt;&gt;"",D27&lt;&gt;"-"),VLOOKUP(D27,エントリー!$A$6:$K$85,6,TRUE),"-")</f>
        <v>-</v>
      </c>
      <c r="V27" s="99" t="str">
        <f>IF(AND(E27&lt;&gt;"",E27&lt;&gt;"-"),VLOOKUP(E27,競技一覧!$P$5:$T$50,5,FALSE),"")</f>
        <v/>
      </c>
      <c r="W27" s="99" t="str">
        <f ca="1">IF(OR(R27=2,R27=3),CELL("address",X27),IF(OR(R27=4),CELL("address",Y27),IF(R27=1,$Y$8,$Y$10)))</f>
        <v>W10</v>
      </c>
      <c r="X27" s="99" t="str">
        <f>IF(AND(D27&lt;&gt;"",D27&lt;&gt;"-"),VLOOKUP(D27,エントリー!$A$6:$K$85,7,TRUE),"-")</f>
        <v>-</v>
      </c>
      <c r="Y27" s="99" t="str">
        <f>IF(R27=4,G27 &amp; " " &amp; H27,"")</f>
        <v/>
      </c>
      <c r="Z27" s="99" t="str">
        <f ca="1">IF(R27=4,$AB$9,IF(OR(R27=1,R27=2,R27=3),CELL("address",AA27),$Y$10))</f>
        <v>W10</v>
      </c>
      <c r="AA27" s="99" t="str">
        <f>IF(AND(F27&lt;&gt;"",F27&lt;&gt;"-",OR(R27=1,R27=2,R27=3)),VLOOKUP(F27,選手登録!$L$7:$M$31,2,FALSE),"-")</f>
        <v>-</v>
      </c>
      <c r="AB27" s="99" t="str">
        <f ca="1">IF(OR(R27=1,R27=2,R27=3),CELL("address",AC27),IF(OR(R27=4),$AB$10,$Y$10))</f>
        <v>W10</v>
      </c>
      <c r="AC27" s="99" t="str">
        <f>IF(AND(F27&lt;&gt;"",F27&lt;&gt;"-",OR(R27=1,R27=2,R27=3)),VLOOKUP(F27,選手登録!$L$7:$N$31,3,FALSE),"-")</f>
        <v>-</v>
      </c>
      <c r="AD27" s="99" t="str">
        <f ca="1">IF(OR(R27=2,R27=3),CELL("address",AE27),IF(OR(R27=1,R27=6),$Y$9,IF(R27=5,"",$Y$10)))</f>
        <v>W10</v>
      </c>
      <c r="AE27" s="99" t="str">
        <f>IF(AND(D27&lt;&gt;"",D27&lt;&gt;"-",OR(R27=2,R27=3)),VLOOKUP(D27,エントリー!$A$6:$K$85,8,TRUE),$Y$10)</f>
        <v>W10</v>
      </c>
      <c r="AF27" s="99" t="str">
        <f ca="1">IF(OR(R27=2,R27=3),CELL("address",AG27),IF(R27=1,VLOOKUP(V27,競技一覧!$T$5:$AA$50,8,TRUE),$Y$10))</f>
        <v>W10</v>
      </c>
      <c r="AG27" s="99" t="str">
        <f>IF(AND(OR(R27=2,R27=3),D27&lt;&gt;"",D27&lt;&gt;"-"),VLOOKUP(D27,エントリー!$A$6:$J$85,10,TRUE),$X$10)</f>
        <v>-</v>
      </c>
      <c r="AH27" s="99" t="str">
        <f>IF(F27&lt;&gt;"",F27,IF(Y27&lt;&gt;"",Y27,""))</f>
        <v/>
      </c>
      <c r="AJ27" s="99" t="str">
        <f t="shared" si="0"/>
        <v/>
      </c>
      <c r="AK27" s="99" t="str">
        <f t="shared" si="1"/>
        <v/>
      </c>
      <c r="AL27" s="99" t="str">
        <f>IF(F27&lt;&gt;"",IFERROR(VLOOKUP(AH27,選手登録!$L$7:$O$56,4,FALSE),""),"")</f>
        <v/>
      </c>
      <c r="AM27" s="99" t="str">
        <f>IF(K27&lt;&gt;"",IFERROR(VLOOKUP(K27,馬匹登録!$B$8:$G$54,6,FALSE),""),"")</f>
        <v/>
      </c>
      <c r="AN27" s="99" t="str">
        <f>IFERROR(VLOOKUP(L27,リスト!$H$2:$I$5,2,FALSE),"")</f>
        <v/>
      </c>
      <c r="AO27" s="99" t="str">
        <f t="shared" si="2"/>
        <v/>
      </c>
      <c r="AP27" s="99" t="str">
        <f t="shared" si="3"/>
        <v/>
      </c>
      <c r="AQ27" s="99" t="str">
        <f t="shared" si="4"/>
        <v/>
      </c>
      <c r="AR27" s="99" t="str">
        <f t="shared" si="5"/>
        <v/>
      </c>
      <c r="AS27" s="99" t="str">
        <f t="shared" si="6"/>
        <v/>
      </c>
      <c r="AT27" s="99" t="str">
        <f t="shared" si="7"/>
        <v/>
      </c>
      <c r="AU27" s="99" t="str">
        <f t="shared" si="8"/>
        <v/>
      </c>
      <c r="AV27" s="99" t="str">
        <f t="shared" si="9"/>
        <v/>
      </c>
      <c r="AW27" s="99" t="str">
        <f t="shared" si="10"/>
        <v/>
      </c>
      <c r="AX27" s="99"/>
      <c r="AZ27" s="99">
        <f t="shared" si="19"/>
        <v>0</v>
      </c>
      <c r="BA27" s="99" t="str">
        <f t="shared" si="12"/>
        <v/>
      </c>
      <c r="BB27" s="99">
        <f t="shared" si="13"/>
        <v>7</v>
      </c>
      <c r="BC27" s="99" t="str">
        <f t="shared" si="14"/>
        <v/>
      </c>
      <c r="BD27" s="99" t="str">
        <f t="shared" si="15"/>
        <v/>
      </c>
      <c r="BF27" s="99">
        <f t="shared" si="20"/>
        <v>0</v>
      </c>
      <c r="BG27" s="99" t="str">
        <f t="shared" si="21"/>
        <v/>
      </c>
      <c r="BH27" s="99">
        <f t="shared" si="16"/>
        <v>7</v>
      </c>
      <c r="BI27" s="99" t="str">
        <f t="shared" si="17"/>
        <v/>
      </c>
      <c r="BJ27" s="99" t="str">
        <f t="shared" si="18"/>
        <v/>
      </c>
    </row>
    <row r="28" spans="1:62" ht="22.5" customHeight="1" x14ac:dyDescent="0.4">
      <c r="A28" s="381"/>
      <c r="B28" s="383"/>
      <c r="C28" s="238" t="str">
        <f>IF(OR(R27=2),"変更後","")</f>
        <v/>
      </c>
      <c r="D28" s="142"/>
      <c r="E28" s="241"/>
      <c r="F28" s="241"/>
      <c r="G28" s="241"/>
      <c r="H28" s="241"/>
      <c r="I28" s="241"/>
      <c r="J28" s="241"/>
      <c r="K28" s="241"/>
      <c r="L28" s="244"/>
      <c r="M28" s="226" t="str">
        <f>IF(AND(V28&lt;&gt;"",L28&lt;&gt;"",R27=2),IFERROR(VLOOKUP(V28,競技一覧!$T$5:$Z$50,3+VLOOKUP(L28,リスト!$H$2:$I$5,2,FALSE),FALSE),""),"")</f>
        <v/>
      </c>
      <c r="N28" s="307"/>
      <c r="O28" s="12" t="s">
        <v>11</v>
      </c>
      <c r="P28" s="234"/>
      <c r="R28" s="99" t="str">
        <f>R27</f>
        <v/>
      </c>
      <c r="S28" s="99" t="str">
        <f>$Y$10</f>
        <v>W10</v>
      </c>
      <c r="T28" s="99" t="str">
        <f>IF(R27=2,$Y$7,$Y$10)</f>
        <v>W10</v>
      </c>
      <c r="U28" s="99"/>
      <c r="V28" s="99" t="str">
        <f>IF(AND(E28&lt;&gt;"",E28&lt;&gt;"-"),VLOOKUP(E28,競技一覧!$P$5:$T$50,5,FALSE),"")</f>
        <v/>
      </c>
      <c r="W28" s="99" t="str">
        <f>IF(OR(R28=2),$Y$8,$Y$10)</f>
        <v>W10</v>
      </c>
      <c r="X28" s="99"/>
      <c r="Y28" s="99"/>
      <c r="Z28" s="99" t="str">
        <f>IF(R28=2,$AB$9,IF(R28=4,$AE$7,$Y$10))</f>
        <v>W10</v>
      </c>
      <c r="AA28" s="99" t="str">
        <f>IF(AND(F28&lt;&gt;"",F28&lt;&gt;"-",R28=2),VLOOKUP(F28,選手登録!$L$7:$M$31,2,FALSE),"-")</f>
        <v>-</v>
      </c>
      <c r="AB28" s="99" t="str">
        <f ca="1">IF(OR(R28=2),CELL("address",AC28),IF(OR(R28=4,R28=5),"",$Y$10))</f>
        <v>W10</v>
      </c>
      <c r="AC28" s="99" t="str">
        <f>IF(AND(F28&lt;&gt;"",F28&lt;&gt;"-",R28=2),VLOOKUP(F28,選手登録!$L$7:$N$31,3,FALSE),"-")</f>
        <v>-</v>
      </c>
      <c r="AD28" s="99" t="str">
        <f>IF(OR(R28=2),$Y$9,IF(R28=5,"",$Y$10))</f>
        <v>W10</v>
      </c>
      <c r="AE28" s="99" t="str">
        <f>IF(AND(D28&lt;&gt;"",D28&lt;&gt;"-",OR(R28=2,R28=3)),VLOOKUP(D28,エントリー!$A$6:$K$85,8,TRUE),$Y$10)</f>
        <v>W10</v>
      </c>
      <c r="AF28" s="99" t="str">
        <f>IF(R28=2,VLOOKUP(V28,競技一覧!$T$5:$AA$50,8,TRUE),$Y$10)</f>
        <v>W10</v>
      </c>
      <c r="AG28" s="99"/>
      <c r="AH28" s="99"/>
      <c r="AJ28" s="99" t="str">
        <f t="shared" si="0"/>
        <v/>
      </c>
      <c r="AK28" s="99" t="str">
        <f t="shared" si="1"/>
        <v/>
      </c>
      <c r="AL28" s="99" t="str">
        <f>IF(F28&lt;&gt;"",IFERROR(VLOOKUP(AH28,選手登録!$L$7:$O$56,4,FALSE),""),"")</f>
        <v/>
      </c>
      <c r="AM28" s="99" t="str">
        <f>IF(K28&lt;&gt;"",IFERROR(VLOOKUP(K28,馬匹登録!$B$8:$G$54,6,FALSE),""),"")</f>
        <v/>
      </c>
      <c r="AN28" s="99" t="str">
        <f>IFERROR(VLOOKUP(L28,リスト!$H$2:$I$5,2,FALSE),"")</f>
        <v/>
      </c>
      <c r="AO28" s="99" t="str">
        <f t="shared" si="2"/>
        <v/>
      </c>
      <c r="AP28" s="99" t="str">
        <f t="shared" si="3"/>
        <v/>
      </c>
      <c r="AQ28" s="99" t="str">
        <f t="shared" si="4"/>
        <v/>
      </c>
      <c r="AR28" s="99" t="str">
        <f t="shared" si="5"/>
        <v/>
      </c>
      <c r="AS28" s="99" t="str">
        <f t="shared" si="6"/>
        <v/>
      </c>
      <c r="AT28" s="99" t="str">
        <f t="shared" si="7"/>
        <v/>
      </c>
      <c r="AU28" s="99">
        <f t="shared" si="8"/>
        <v>0</v>
      </c>
      <c r="AV28" s="99" t="str">
        <f t="shared" si="9"/>
        <v>-</v>
      </c>
      <c r="AW28" s="99" t="str">
        <f t="shared" si="10"/>
        <v/>
      </c>
      <c r="AX28" s="99"/>
      <c r="AZ28" s="99">
        <f t="shared" si="19"/>
        <v>0</v>
      </c>
      <c r="BA28" s="99" t="str">
        <f t="shared" si="12"/>
        <v/>
      </c>
      <c r="BB28" s="99">
        <f t="shared" si="13"/>
        <v>0</v>
      </c>
      <c r="BC28" s="99" t="str">
        <f t="shared" si="14"/>
        <v/>
      </c>
      <c r="BD28" s="99" t="str">
        <f t="shared" si="15"/>
        <v/>
      </c>
      <c r="BF28" s="99">
        <f t="shared" si="20"/>
        <v>0</v>
      </c>
      <c r="BG28" s="99"/>
      <c r="BH28" s="99">
        <f t="shared" si="16"/>
        <v>0</v>
      </c>
      <c r="BI28" s="99" t="str">
        <f t="shared" si="17"/>
        <v/>
      </c>
      <c r="BJ28" s="99" t="str">
        <f t="shared" si="18"/>
        <v/>
      </c>
    </row>
    <row r="29" spans="1:62" ht="22.5" customHeight="1" x14ac:dyDescent="0.4">
      <c r="A29" s="380">
        <v>8</v>
      </c>
      <c r="B29" s="382"/>
      <c r="C29" s="237" t="str">
        <f>IF(OR(R29=2),"変更前","")</f>
        <v/>
      </c>
      <c r="D29" s="141"/>
      <c r="E29" s="240"/>
      <c r="F29" s="240"/>
      <c r="G29" s="240"/>
      <c r="H29" s="240"/>
      <c r="I29" s="240"/>
      <c r="J29" s="240"/>
      <c r="K29" s="240"/>
      <c r="L29" s="243"/>
      <c r="M29" s="227" t="str">
        <f>IF(AND(V29&lt;&gt;"",L29&lt;&gt;"",OR(R29=1,R29=2,R29=3)),IFERROR(VLOOKUP(V29,競技一覧!$T$5:$Z$50,3+VLOOKUP(L29,リスト!$H$2:$I$5,2,FALSE),FALSE) * IF(R29=1,1,-1),""),IF(R29=5,設定!$B$13,IF(R29=6,-1*設定!$B$13,"")))</f>
        <v/>
      </c>
      <c r="N29" s="377" t="str">
        <f>IF($B29&lt;&gt;"",IFERROR(VALUE(M30),0)+IFERROR(VALUE(M29),0),"")</f>
        <v/>
      </c>
      <c r="O29" s="9" t="str">
        <f>IF(OR($R29=1,$R29=2,$R29=3),設定!$B$14,IF($B29&lt;&gt;"",0,""))</f>
        <v/>
      </c>
      <c r="P29" s="233"/>
      <c r="R29" s="99" t="str">
        <f>IF(B29&lt;&gt;"",VLOOKUP(B29,リスト!$N$2:$O$9,2,FALSE),"")</f>
        <v/>
      </c>
      <c r="S29" s="99" t="str">
        <f>IF(OR(R29=2,R29=3),$AB$7,$Y$10)</f>
        <v>W10</v>
      </c>
      <c r="T29" s="99" t="str">
        <f ca="1">IF(OR(R29=2,R29=3),CELL("address",U29),IF(R29=1,$Y$7,$Y$10))</f>
        <v>W10</v>
      </c>
      <c r="U29" s="99" t="str">
        <f>IF(AND(OR(R29=2, R29=3),D29&lt;&gt;"",D29&lt;&gt;"-"),VLOOKUP(D29,エントリー!$A$6:$K$85,6,TRUE),"-")</f>
        <v>-</v>
      </c>
      <c r="V29" s="99" t="str">
        <f>IF(AND(E29&lt;&gt;"",E29&lt;&gt;"-"),VLOOKUP(E29,競技一覧!$P$5:$T$50,5,FALSE),"")</f>
        <v/>
      </c>
      <c r="W29" s="99" t="str">
        <f ca="1">IF(OR(R29=2,R29=3),CELL("address",X29),IF(OR(R29=4),CELL("address",Y29),IF(R29=1,$Y$8,$Y$10)))</f>
        <v>W10</v>
      </c>
      <c r="X29" s="99" t="str">
        <f>IF(AND(D29&lt;&gt;"",D29&lt;&gt;"-"),VLOOKUP(D29,エントリー!$A$6:$K$85,7,TRUE),"-")</f>
        <v>-</v>
      </c>
      <c r="Y29" s="99" t="str">
        <f>IF(R29=4,G29 &amp; " " &amp; H29,"")</f>
        <v/>
      </c>
      <c r="Z29" s="99" t="str">
        <f ca="1">IF(R29=4,$AB$9,IF(OR(R29=1,R29=2,R29=3),CELL("address",AA29),$Y$10))</f>
        <v>W10</v>
      </c>
      <c r="AA29" s="99" t="str">
        <f>IF(AND(F29&lt;&gt;"",F29&lt;&gt;"-",OR(R29=1,R29=2,R29=3)),VLOOKUP(F29,選手登録!$L$7:$M$31,2,FALSE),"-")</f>
        <v>-</v>
      </c>
      <c r="AB29" s="99" t="str">
        <f ca="1">IF(OR(R29=1,R29=2,R29=3),CELL("address",AC29),IF(OR(R29=4),$AB$10,$Y$10))</f>
        <v>W10</v>
      </c>
      <c r="AC29" s="99" t="str">
        <f>IF(AND(F29&lt;&gt;"",F29&lt;&gt;"-",OR(R29=1,R29=2,R29=3)),VLOOKUP(F29,選手登録!$L$7:$N$31,3,FALSE),"-")</f>
        <v>-</v>
      </c>
      <c r="AD29" s="99" t="str">
        <f ca="1">IF(OR(R29=2,R29=3),CELL("address",AE29),IF(OR(R29=1,R29=6),$Y$9,IF(R29=5,"",$Y$10)))</f>
        <v>W10</v>
      </c>
      <c r="AE29" s="99" t="str">
        <f>IF(AND(D29&lt;&gt;"",D29&lt;&gt;"-",OR(R29=2,R29=3)),VLOOKUP(D29,エントリー!$A$6:$K$85,8,TRUE),$Y$10)</f>
        <v>W10</v>
      </c>
      <c r="AF29" s="99" t="str">
        <f ca="1">IF(OR(R29=2,R29=3),CELL("address",AG29),IF(R29=1,VLOOKUP(V29,競技一覧!$T$5:$AA$50,8,TRUE),$Y$10))</f>
        <v>W10</v>
      </c>
      <c r="AG29" s="99" t="str">
        <f>IF(AND(OR(R29=2,R29=3),D29&lt;&gt;"",D29&lt;&gt;"-"),VLOOKUP(D29,エントリー!$A$6:$J$85,10,TRUE),$X$10)</f>
        <v>-</v>
      </c>
      <c r="AH29" s="99" t="str">
        <f>IF(F29&lt;&gt;"",F29,IF(Y29&lt;&gt;"",Y29,""))</f>
        <v/>
      </c>
      <c r="AJ29" s="99" t="str">
        <f t="shared" si="0"/>
        <v/>
      </c>
      <c r="AK29" s="99" t="str">
        <f t="shared" si="1"/>
        <v/>
      </c>
      <c r="AL29" s="99" t="str">
        <f>IF(F29&lt;&gt;"",IFERROR(VLOOKUP(AH29,選手登録!$L$7:$O$56,4,FALSE),""),"")</f>
        <v/>
      </c>
      <c r="AM29" s="99" t="str">
        <f>IF(K29&lt;&gt;"",IFERROR(VLOOKUP(K29,馬匹登録!$B$8:$G$54,6,FALSE),""),"")</f>
        <v/>
      </c>
      <c r="AN29" s="99" t="str">
        <f>IFERROR(VLOOKUP(L29,リスト!$H$2:$I$5,2,FALSE),"")</f>
        <v/>
      </c>
      <c r="AO29" s="99" t="str">
        <f t="shared" si="2"/>
        <v/>
      </c>
      <c r="AP29" s="99" t="str">
        <f t="shared" si="3"/>
        <v/>
      </c>
      <c r="AQ29" s="99" t="str">
        <f t="shared" si="4"/>
        <v/>
      </c>
      <c r="AR29" s="99" t="str">
        <f t="shared" si="5"/>
        <v/>
      </c>
      <c r="AS29" s="99" t="str">
        <f t="shared" si="6"/>
        <v/>
      </c>
      <c r="AT29" s="99" t="str">
        <f t="shared" si="7"/>
        <v/>
      </c>
      <c r="AU29" s="99" t="str">
        <f t="shared" si="8"/>
        <v/>
      </c>
      <c r="AV29" s="99" t="str">
        <f t="shared" si="9"/>
        <v/>
      </c>
      <c r="AW29" s="99" t="str">
        <f t="shared" si="10"/>
        <v/>
      </c>
      <c r="AX29" s="99"/>
      <c r="AZ29" s="99">
        <f t="shared" si="19"/>
        <v>0</v>
      </c>
      <c r="BA29" s="99" t="str">
        <f t="shared" si="12"/>
        <v/>
      </c>
      <c r="BB29" s="99">
        <f t="shared" si="13"/>
        <v>8</v>
      </c>
      <c r="BC29" s="99" t="str">
        <f t="shared" si="14"/>
        <v/>
      </c>
      <c r="BD29" s="99" t="str">
        <f t="shared" si="15"/>
        <v/>
      </c>
      <c r="BF29" s="99">
        <f t="shared" si="20"/>
        <v>0</v>
      </c>
      <c r="BG29" s="99" t="str">
        <f t="shared" si="21"/>
        <v/>
      </c>
      <c r="BH29" s="99">
        <f t="shared" si="16"/>
        <v>8</v>
      </c>
      <c r="BI29" s="99" t="str">
        <f t="shared" si="17"/>
        <v/>
      </c>
      <c r="BJ29" s="99" t="str">
        <f t="shared" si="18"/>
        <v/>
      </c>
    </row>
    <row r="30" spans="1:62" ht="22.5" customHeight="1" x14ac:dyDescent="0.4">
      <c r="A30" s="381"/>
      <c r="B30" s="383"/>
      <c r="C30" s="238" t="str">
        <f>IF(OR(R29=2),"変更後","")</f>
        <v/>
      </c>
      <c r="D30" s="142"/>
      <c r="E30" s="241"/>
      <c r="F30" s="241"/>
      <c r="G30" s="241"/>
      <c r="H30" s="241"/>
      <c r="I30" s="241"/>
      <c r="J30" s="241"/>
      <c r="K30" s="241"/>
      <c r="L30" s="244"/>
      <c r="M30" s="226" t="str">
        <f>IF(AND(V30&lt;&gt;"",L30&lt;&gt;"",R29=2),IFERROR(VLOOKUP(V30,競技一覧!$T$5:$Z$50,3+VLOOKUP(L30,リスト!$H$2:$I$5,2,FALSE),FALSE),""),"")</f>
        <v/>
      </c>
      <c r="N30" s="307"/>
      <c r="O30" s="12" t="s">
        <v>11</v>
      </c>
      <c r="P30" s="234"/>
      <c r="R30" s="99" t="str">
        <f>R29</f>
        <v/>
      </c>
      <c r="S30" s="99" t="str">
        <f>$Y$10</f>
        <v>W10</v>
      </c>
      <c r="T30" s="99" t="str">
        <f>IF(R29=2,$Y$7,$Y$10)</f>
        <v>W10</v>
      </c>
      <c r="U30" s="99"/>
      <c r="V30" s="99" t="str">
        <f>IF(AND(E30&lt;&gt;"",E30&lt;&gt;"-"),VLOOKUP(E30,競技一覧!$P$5:$T$50,5,FALSE),"")</f>
        <v/>
      </c>
      <c r="W30" s="99" t="str">
        <f>IF(OR(R30=2),$Y$8,$Y$10)</f>
        <v>W10</v>
      </c>
      <c r="X30" s="99"/>
      <c r="Y30" s="99"/>
      <c r="Z30" s="99" t="str">
        <f>IF(R30=2,$AB$9,IF(R30=4,$AE$7,$Y$10))</f>
        <v>W10</v>
      </c>
      <c r="AA30" s="99" t="str">
        <f>IF(AND(F30&lt;&gt;"",F30&lt;&gt;"-",R30=2),VLOOKUP(F30,選手登録!$L$7:$M$31,2,FALSE),"-")</f>
        <v>-</v>
      </c>
      <c r="AB30" s="99" t="str">
        <f ca="1">IF(OR(R30=2),CELL("address",AC30),IF(OR(R30=4,R30=5),"",$Y$10))</f>
        <v>W10</v>
      </c>
      <c r="AC30" s="99" t="str">
        <f>IF(AND(F30&lt;&gt;"",F30&lt;&gt;"-",R30=2),VLOOKUP(F30,選手登録!$L$7:$N$31,3,FALSE),"-")</f>
        <v>-</v>
      </c>
      <c r="AD30" s="99" t="str">
        <f>IF(OR(R30=2),$Y$9,IF(R30=5,"",$Y$10))</f>
        <v>W10</v>
      </c>
      <c r="AE30" s="99" t="str">
        <f>IF(AND(D30&lt;&gt;"",D30&lt;&gt;"-",OR(R30=2,R30=3)),VLOOKUP(D30,エントリー!$A$6:$K$85,8,TRUE),$Y$10)</f>
        <v>W10</v>
      </c>
      <c r="AF30" s="99" t="str">
        <f>IF(R30=2,VLOOKUP(V30,競技一覧!$T$5:$AA$50,8,TRUE),$Y$10)</f>
        <v>W10</v>
      </c>
      <c r="AG30" s="99"/>
      <c r="AH30" s="99"/>
      <c r="AJ30" s="99" t="str">
        <f t="shared" si="0"/>
        <v/>
      </c>
      <c r="AK30" s="99" t="str">
        <f t="shared" si="1"/>
        <v/>
      </c>
      <c r="AL30" s="99" t="str">
        <f>IF(F30&lt;&gt;"",IFERROR(VLOOKUP(AH30,選手登録!$L$7:$O$56,4,FALSE),""),"")</f>
        <v/>
      </c>
      <c r="AM30" s="99" t="str">
        <f>IF(K30&lt;&gt;"",IFERROR(VLOOKUP(K30,馬匹登録!$B$8:$G$54,6,FALSE),""),"")</f>
        <v/>
      </c>
      <c r="AN30" s="99" t="str">
        <f>IFERROR(VLOOKUP(L30,リスト!$H$2:$I$5,2,FALSE),"")</f>
        <v/>
      </c>
      <c r="AO30" s="99" t="str">
        <f t="shared" si="2"/>
        <v/>
      </c>
      <c r="AP30" s="99" t="str">
        <f t="shared" si="3"/>
        <v/>
      </c>
      <c r="AQ30" s="99" t="str">
        <f t="shared" si="4"/>
        <v/>
      </c>
      <c r="AR30" s="99" t="str">
        <f t="shared" si="5"/>
        <v/>
      </c>
      <c r="AS30" s="99" t="str">
        <f t="shared" si="6"/>
        <v/>
      </c>
      <c r="AT30" s="99" t="str">
        <f t="shared" si="7"/>
        <v/>
      </c>
      <c r="AU30" s="99">
        <f t="shared" si="8"/>
        <v>0</v>
      </c>
      <c r="AV30" s="99" t="str">
        <f t="shared" si="9"/>
        <v>-</v>
      </c>
      <c r="AW30" s="99" t="str">
        <f t="shared" si="10"/>
        <v/>
      </c>
      <c r="AX30" s="99"/>
      <c r="AZ30" s="99">
        <f t="shared" si="19"/>
        <v>0</v>
      </c>
      <c r="BA30" s="99" t="str">
        <f t="shared" si="12"/>
        <v/>
      </c>
      <c r="BB30" s="99">
        <f t="shared" si="13"/>
        <v>0</v>
      </c>
      <c r="BC30" s="99" t="str">
        <f t="shared" si="14"/>
        <v/>
      </c>
      <c r="BD30" s="99" t="str">
        <f t="shared" si="15"/>
        <v/>
      </c>
      <c r="BF30" s="99">
        <f t="shared" si="20"/>
        <v>0</v>
      </c>
      <c r="BG30" s="99"/>
      <c r="BH30" s="99">
        <f t="shared" si="16"/>
        <v>0</v>
      </c>
      <c r="BI30" s="99" t="str">
        <f t="shared" si="17"/>
        <v/>
      </c>
      <c r="BJ30" s="99" t="str">
        <f t="shared" si="18"/>
        <v/>
      </c>
    </row>
    <row r="31" spans="1:62" ht="22.5" customHeight="1" x14ac:dyDescent="0.4">
      <c r="A31" s="380">
        <v>9</v>
      </c>
      <c r="B31" s="382"/>
      <c r="C31" s="237" t="str">
        <f>IF(OR(R31=2),"変更前","")</f>
        <v/>
      </c>
      <c r="D31" s="141"/>
      <c r="E31" s="240"/>
      <c r="F31" s="240"/>
      <c r="G31" s="240"/>
      <c r="H31" s="240"/>
      <c r="I31" s="240"/>
      <c r="J31" s="240"/>
      <c r="K31" s="240"/>
      <c r="L31" s="243"/>
      <c r="M31" s="227" t="str">
        <f>IF(AND(V31&lt;&gt;"",L31&lt;&gt;"",OR(R31=1,R31=2,R31=3)),IFERROR(VLOOKUP(V31,競技一覧!$T$5:$Z$50,3+VLOOKUP(L31,リスト!$H$2:$I$5,2,FALSE),FALSE) * IF(R31=1,1,-1),""),IF(R31=5,設定!$B$13,IF(R31=6,-1*設定!$B$13,"")))</f>
        <v/>
      </c>
      <c r="N31" s="377" t="str">
        <f>IF($B31&lt;&gt;"",IFERROR(VALUE(M32),0)+IFERROR(VALUE(M31),0),"")</f>
        <v/>
      </c>
      <c r="O31" s="9" t="str">
        <f>IF(OR($R31=1,$R31=2,$R31=3),設定!$B$14,IF($B31&lt;&gt;"",0,""))</f>
        <v/>
      </c>
      <c r="P31" s="233"/>
      <c r="R31" s="99" t="str">
        <f>IF(B31&lt;&gt;"",VLOOKUP(B31,リスト!$N$2:$O$9,2,FALSE),"")</f>
        <v/>
      </c>
      <c r="S31" s="99" t="str">
        <f>IF(OR(R31=2,R31=3),$AB$7,$Y$10)</f>
        <v>W10</v>
      </c>
      <c r="T31" s="99" t="str">
        <f ca="1">IF(OR(R31=2,R31=3),CELL("address",U31),IF(R31=1,$Y$7,$Y$10))</f>
        <v>W10</v>
      </c>
      <c r="U31" s="99" t="str">
        <f>IF(AND(OR(R31=2, R31=3),D31&lt;&gt;"",D31&lt;&gt;"-"),VLOOKUP(D31,エントリー!$A$6:$K$85,6,TRUE),"-")</f>
        <v>-</v>
      </c>
      <c r="V31" s="99" t="str">
        <f>IF(AND(E31&lt;&gt;"",E31&lt;&gt;"-"),VLOOKUP(E31,競技一覧!$P$5:$T$50,5,FALSE),"")</f>
        <v/>
      </c>
      <c r="W31" s="99" t="str">
        <f ca="1">IF(OR(R31=2,R31=3),CELL("address",X31),IF(OR(R31=4),CELL("address",Y31),IF(R31=1,$Y$8,$Y$10)))</f>
        <v>W10</v>
      </c>
      <c r="X31" s="99" t="str">
        <f>IF(AND(D31&lt;&gt;"",D31&lt;&gt;"-"),VLOOKUP(D31,エントリー!$A$6:$K$85,7,TRUE),"-")</f>
        <v>-</v>
      </c>
      <c r="Y31" s="99" t="str">
        <f>IF(R31=4,G31 &amp; " " &amp; H31,"")</f>
        <v/>
      </c>
      <c r="Z31" s="99" t="str">
        <f ca="1">IF(R31=4,$AB$9,IF(OR(R31=1,R31=2,R31=3),CELL("address",AA31),$Y$10))</f>
        <v>W10</v>
      </c>
      <c r="AA31" s="99" t="str">
        <f>IF(AND(F31&lt;&gt;"",F31&lt;&gt;"-",OR(R31=1,R31=2,R31=3)),VLOOKUP(F31,選手登録!$L$7:$M$31,2,FALSE),"-")</f>
        <v>-</v>
      </c>
      <c r="AB31" s="99" t="str">
        <f ca="1">IF(OR(R31=1,R31=2,R31=3),CELL("address",AC31),IF(OR(R31=4),$AB$10,$Y$10))</f>
        <v>W10</v>
      </c>
      <c r="AC31" s="99" t="str">
        <f>IF(AND(F31&lt;&gt;"",F31&lt;&gt;"-",OR(R31=1,R31=2,R31=3)),VLOOKUP(F31,選手登録!$L$7:$N$31,3,FALSE),"-")</f>
        <v>-</v>
      </c>
      <c r="AD31" s="99" t="str">
        <f ca="1">IF(OR(R31=2,R31=3),CELL("address",AE31),IF(OR(R31=1,R31=6),$Y$9,IF(R31=5,"",$Y$10)))</f>
        <v>W10</v>
      </c>
      <c r="AE31" s="99" t="str">
        <f>IF(AND(D31&lt;&gt;"",D31&lt;&gt;"-",OR(R31=2,R31=3)),VLOOKUP(D31,エントリー!$A$6:$K$85,8,TRUE),$Y$10)</f>
        <v>W10</v>
      </c>
      <c r="AF31" s="99" t="str">
        <f ca="1">IF(OR(R31=2,R31=3),CELL("address",AG31),IF(R31=1,VLOOKUP(V31,競技一覧!$T$5:$AA$50,8,TRUE),$Y$10))</f>
        <v>W10</v>
      </c>
      <c r="AG31" s="99" t="str">
        <f>IF(AND(OR(R31=2,R31=3),D31&lt;&gt;"",D31&lt;&gt;"-"),VLOOKUP(D31,エントリー!$A$6:$J$85,10,TRUE),$X$10)</f>
        <v>-</v>
      </c>
      <c r="AH31" s="99" t="str">
        <f>IF(F31&lt;&gt;"",F31,IF(Y31&lt;&gt;"",Y31,""))</f>
        <v/>
      </c>
      <c r="AJ31" s="99" t="str">
        <f t="shared" si="0"/>
        <v/>
      </c>
      <c r="AK31" s="99" t="str">
        <f t="shared" si="1"/>
        <v/>
      </c>
      <c r="AL31" s="99" t="str">
        <f>IF(F31&lt;&gt;"",IFERROR(VLOOKUP(AH31,選手登録!$L$7:$O$56,4,FALSE),""),"")</f>
        <v/>
      </c>
      <c r="AM31" s="99" t="str">
        <f>IF(K31&lt;&gt;"",IFERROR(VLOOKUP(K31,馬匹登録!$B$8:$G$54,6,FALSE),""),"")</f>
        <v/>
      </c>
      <c r="AN31" s="99" t="str">
        <f>IFERROR(VLOOKUP(L31,リスト!$H$2:$I$5,2,FALSE),"")</f>
        <v/>
      </c>
      <c r="AO31" s="99" t="str">
        <f t="shared" si="2"/>
        <v/>
      </c>
      <c r="AP31" s="99" t="str">
        <f t="shared" si="3"/>
        <v/>
      </c>
      <c r="AQ31" s="99" t="str">
        <f t="shared" si="4"/>
        <v/>
      </c>
      <c r="AR31" s="99" t="str">
        <f t="shared" si="5"/>
        <v/>
      </c>
      <c r="AS31" s="99" t="str">
        <f t="shared" si="6"/>
        <v/>
      </c>
      <c r="AT31" s="99" t="str">
        <f t="shared" si="7"/>
        <v/>
      </c>
      <c r="AU31" s="99" t="str">
        <f t="shared" si="8"/>
        <v/>
      </c>
      <c r="AV31" s="99" t="str">
        <f t="shared" si="9"/>
        <v/>
      </c>
      <c r="AW31" s="99" t="str">
        <f t="shared" si="10"/>
        <v/>
      </c>
      <c r="AX31" s="99"/>
      <c r="AZ31" s="99">
        <f t="shared" si="19"/>
        <v>0</v>
      </c>
      <c r="BA31" s="99" t="str">
        <f t="shared" si="12"/>
        <v/>
      </c>
      <c r="BB31" s="99">
        <f t="shared" si="13"/>
        <v>9</v>
      </c>
      <c r="BC31" s="99" t="str">
        <f t="shared" si="14"/>
        <v/>
      </c>
      <c r="BD31" s="99" t="str">
        <f t="shared" si="15"/>
        <v/>
      </c>
      <c r="BF31" s="99">
        <f t="shared" si="20"/>
        <v>0</v>
      </c>
      <c r="BG31" s="99" t="str">
        <f t="shared" si="21"/>
        <v/>
      </c>
      <c r="BH31" s="99">
        <f t="shared" si="16"/>
        <v>9</v>
      </c>
      <c r="BI31" s="99" t="str">
        <f t="shared" si="17"/>
        <v/>
      </c>
      <c r="BJ31" s="99" t="str">
        <f t="shared" si="18"/>
        <v/>
      </c>
    </row>
    <row r="32" spans="1:62" ht="22.5" customHeight="1" x14ac:dyDescent="0.4">
      <c r="A32" s="381"/>
      <c r="B32" s="383"/>
      <c r="C32" s="238" t="str">
        <f>IF(OR(R31=2),"変更後","")</f>
        <v/>
      </c>
      <c r="D32" s="142"/>
      <c r="E32" s="241"/>
      <c r="F32" s="241"/>
      <c r="G32" s="241"/>
      <c r="H32" s="241"/>
      <c r="I32" s="241"/>
      <c r="J32" s="241"/>
      <c r="K32" s="241"/>
      <c r="L32" s="244"/>
      <c r="M32" s="226" t="str">
        <f>IF(AND(V32&lt;&gt;"",L32&lt;&gt;"",R31=2),IFERROR(VLOOKUP(V32,競技一覧!$T$5:$Z$50,3+VLOOKUP(L32,リスト!$H$2:$I$5,2,FALSE),FALSE),""),"")</f>
        <v/>
      </c>
      <c r="N32" s="307"/>
      <c r="O32" s="12" t="s">
        <v>11</v>
      </c>
      <c r="P32" s="234"/>
      <c r="R32" s="99" t="str">
        <f>R31</f>
        <v/>
      </c>
      <c r="S32" s="99" t="str">
        <f>$Y$10</f>
        <v>W10</v>
      </c>
      <c r="T32" s="99" t="str">
        <f>IF(R31=2,$Y$7,$Y$10)</f>
        <v>W10</v>
      </c>
      <c r="U32" s="99"/>
      <c r="V32" s="99" t="str">
        <f>IF(AND(E32&lt;&gt;"",E32&lt;&gt;"-"),VLOOKUP(E32,競技一覧!$P$5:$T$50,5,FALSE),"")</f>
        <v/>
      </c>
      <c r="W32" s="99" t="str">
        <f>IF(OR(R32=2),$Y$8,$Y$10)</f>
        <v>W10</v>
      </c>
      <c r="X32" s="99"/>
      <c r="Y32" s="99"/>
      <c r="Z32" s="99" t="str">
        <f>IF(R32=2,$AB$9,IF(R32=4,$AE$7,$Y$10))</f>
        <v>W10</v>
      </c>
      <c r="AA32" s="99" t="str">
        <f>IF(AND(F32&lt;&gt;"",F32&lt;&gt;"-",R32=2),VLOOKUP(F32,選手登録!$L$7:$M$31,2,FALSE),"-")</f>
        <v>-</v>
      </c>
      <c r="AB32" s="99" t="str">
        <f ca="1">IF(OR(R32=2),CELL("address",AC32),IF(OR(R32=4,R32=5),"",$Y$10))</f>
        <v>W10</v>
      </c>
      <c r="AC32" s="99" t="str">
        <f>IF(AND(F32&lt;&gt;"",F32&lt;&gt;"-",R32=2),VLOOKUP(F32,選手登録!$L$7:$N$31,3,FALSE),"-")</f>
        <v>-</v>
      </c>
      <c r="AD32" s="99" t="str">
        <f>IF(OR(R32=2),$Y$9,IF(R32=5,"",$Y$10))</f>
        <v>W10</v>
      </c>
      <c r="AE32" s="99" t="str">
        <f>IF(AND(D32&lt;&gt;"",D32&lt;&gt;"-",OR(R32=2,R32=3)),VLOOKUP(D32,エントリー!$A$6:$K$85,8,TRUE),$Y$10)</f>
        <v>W10</v>
      </c>
      <c r="AF32" s="99" t="str">
        <f>IF(R32=2,VLOOKUP(V32,競技一覧!$T$5:$AA$50,8,TRUE),$Y$10)</f>
        <v>W10</v>
      </c>
      <c r="AG32" s="99"/>
      <c r="AH32" s="99"/>
      <c r="AJ32" s="99" t="str">
        <f t="shared" si="0"/>
        <v/>
      </c>
      <c r="AK32" s="99" t="str">
        <f t="shared" si="1"/>
        <v/>
      </c>
      <c r="AL32" s="99" t="str">
        <f>IF(F32&lt;&gt;"",IFERROR(VLOOKUP(AH32,選手登録!$L$7:$O$56,4,FALSE),""),"")</f>
        <v/>
      </c>
      <c r="AM32" s="99" t="str">
        <f>IF(K32&lt;&gt;"",IFERROR(VLOOKUP(K32,馬匹登録!$B$8:$G$54,6,FALSE),""),"")</f>
        <v/>
      </c>
      <c r="AN32" s="99" t="str">
        <f>IFERROR(VLOOKUP(L32,リスト!$H$2:$I$5,2,FALSE),"")</f>
        <v/>
      </c>
      <c r="AO32" s="99" t="str">
        <f t="shared" si="2"/>
        <v/>
      </c>
      <c r="AP32" s="99" t="str">
        <f t="shared" si="3"/>
        <v/>
      </c>
      <c r="AQ32" s="99" t="str">
        <f t="shared" si="4"/>
        <v/>
      </c>
      <c r="AR32" s="99" t="str">
        <f t="shared" si="5"/>
        <v/>
      </c>
      <c r="AS32" s="99" t="str">
        <f t="shared" si="6"/>
        <v/>
      </c>
      <c r="AT32" s="99" t="str">
        <f t="shared" si="7"/>
        <v/>
      </c>
      <c r="AU32" s="99">
        <f t="shared" si="8"/>
        <v>0</v>
      </c>
      <c r="AV32" s="99" t="str">
        <f t="shared" si="9"/>
        <v>-</v>
      </c>
      <c r="AW32" s="99" t="str">
        <f t="shared" si="10"/>
        <v/>
      </c>
      <c r="AX32" s="99"/>
      <c r="AZ32" s="99">
        <f t="shared" si="19"/>
        <v>0</v>
      </c>
      <c r="BA32" s="99" t="str">
        <f t="shared" si="12"/>
        <v/>
      </c>
      <c r="BB32" s="99">
        <f t="shared" si="13"/>
        <v>0</v>
      </c>
      <c r="BC32" s="99" t="str">
        <f t="shared" si="14"/>
        <v/>
      </c>
      <c r="BD32" s="99" t="str">
        <f t="shared" si="15"/>
        <v/>
      </c>
      <c r="BF32" s="99">
        <f t="shared" si="20"/>
        <v>0</v>
      </c>
      <c r="BG32" s="99"/>
      <c r="BH32" s="99">
        <f t="shared" si="16"/>
        <v>0</v>
      </c>
      <c r="BI32" s="99" t="str">
        <f t="shared" si="17"/>
        <v/>
      </c>
      <c r="BJ32" s="99" t="str">
        <f t="shared" si="18"/>
        <v/>
      </c>
    </row>
    <row r="33" spans="1:62" ht="22.5" customHeight="1" x14ac:dyDescent="0.4">
      <c r="A33" s="380">
        <v>10</v>
      </c>
      <c r="B33" s="382"/>
      <c r="C33" s="237" t="str">
        <f>IF(OR(R33=2),"変更前","")</f>
        <v/>
      </c>
      <c r="D33" s="141"/>
      <c r="E33" s="240"/>
      <c r="F33" s="240"/>
      <c r="G33" s="240"/>
      <c r="H33" s="240"/>
      <c r="I33" s="240"/>
      <c r="J33" s="240"/>
      <c r="K33" s="240"/>
      <c r="L33" s="243"/>
      <c r="M33" s="249" t="str">
        <f>IF(AND(V33&lt;&gt;"",L33&lt;&gt;"",OR(R33=1,R33=2,R33=3)),IFERROR(VLOOKUP(V33,競技一覧!$T$5:$Z$50,3+VLOOKUP(L33,リスト!$H$2:$I$5,2,FALSE),FALSE) * IF(R33=1,1,-1),""),IF(R33=5,設定!$B$13,IF(R33=6,-1*設定!$B$13,"")))</f>
        <v/>
      </c>
      <c r="N33" s="377" t="str">
        <f>IF($B33&lt;&gt;"",IFERROR(VALUE(M34),0)+IFERROR(VALUE(M33),0),"")</f>
        <v/>
      </c>
      <c r="O33" s="9" t="str">
        <f>IF(OR($R33=1,$R33=2,$R33=3),設定!$B$14,IF($B33&lt;&gt;"",0,""))</f>
        <v/>
      </c>
      <c r="P33" s="233"/>
      <c r="R33" s="99" t="str">
        <f>IF(B33&lt;&gt;"",VLOOKUP(B33,リスト!$N$2:$O$9,2,FALSE),"")</f>
        <v/>
      </c>
      <c r="S33" s="99" t="str">
        <f>IF(OR(R33=2,R33=3),$AB$7,$Y$10)</f>
        <v>W10</v>
      </c>
      <c r="T33" s="99" t="str">
        <f ca="1">IF(OR(R33=2,R33=3),CELL("address",U33),IF(R33=1,$Y$7,$Y$10))</f>
        <v>W10</v>
      </c>
      <c r="U33" s="99" t="str">
        <f>IF(AND(OR(R33=2, R33=3),D33&lt;&gt;"",D33&lt;&gt;"-"),VLOOKUP(D33,エントリー!$A$6:$K$85,6,TRUE),"-")</f>
        <v>-</v>
      </c>
      <c r="V33" s="99" t="str">
        <f>IF(AND(E33&lt;&gt;"",E33&lt;&gt;"-"),VLOOKUP(E33,競技一覧!$P$5:$T$50,5,FALSE),"")</f>
        <v/>
      </c>
      <c r="W33" s="99" t="str">
        <f ca="1">IF(OR(R33=2,R33=3),CELL("address",X33),IF(OR(R33=4),CELL("address",Y33),IF(R33=1,$Y$8,$Y$10)))</f>
        <v>W10</v>
      </c>
      <c r="X33" s="99" t="str">
        <f>IF(AND(D33&lt;&gt;"",D33&lt;&gt;"-"),VLOOKUP(D33,エントリー!$A$6:$K$85,7,TRUE),"-")</f>
        <v>-</v>
      </c>
      <c r="Y33" s="99" t="str">
        <f>IF(R33=4,G33 &amp; " " &amp; H33,"")</f>
        <v/>
      </c>
      <c r="Z33" s="99" t="str">
        <f ca="1">IF(R33=4,$AB$9,IF(OR(R33=1,R33=2,R33=3),CELL("address",AA33),$Y$10))</f>
        <v>W10</v>
      </c>
      <c r="AA33" s="99" t="str">
        <f>IF(AND(F33&lt;&gt;"",F33&lt;&gt;"-",OR(R33=1,R33=2,R33=3)),VLOOKUP(F33,選手登録!$L$7:$M$31,2,FALSE),"-")</f>
        <v>-</v>
      </c>
      <c r="AB33" s="99" t="str">
        <f ca="1">IF(OR(R33=1,R33=2,R33=3),CELL("address",AC33),IF(OR(R33=4),$AB$10,$Y$10))</f>
        <v>W10</v>
      </c>
      <c r="AC33" s="99" t="str">
        <f>IF(AND(F33&lt;&gt;"",F33&lt;&gt;"-",OR(R33=1,R33=2,R33=3)),VLOOKUP(F33,選手登録!$L$7:$N$31,3,FALSE),"-")</f>
        <v>-</v>
      </c>
      <c r="AD33" s="99" t="str">
        <f ca="1">IF(OR(R33=2,R33=3),CELL("address",AE33),IF(OR(R33=1,R33=6),$Y$9,IF(R33=5,"",$Y$10)))</f>
        <v>W10</v>
      </c>
      <c r="AE33" s="99" t="str">
        <f>IF(AND(D33&lt;&gt;"",D33&lt;&gt;"-",OR(R33=2,R33=3)),VLOOKUP(D33,エントリー!$A$6:$K$85,8,TRUE),$Y$10)</f>
        <v>W10</v>
      </c>
      <c r="AF33" s="99" t="str">
        <f ca="1">IF(OR(R33=2,R33=3),CELL("address",AG33),IF(R33=1,VLOOKUP(V33,競技一覧!$T$5:$AA$50,8,TRUE),$Y$10))</f>
        <v>W10</v>
      </c>
      <c r="AG33" s="99" t="str">
        <f>IF(AND(OR(R33=2,R33=3),D33&lt;&gt;"",D33&lt;&gt;"-"),VLOOKUP(D33,エントリー!$A$6:$J$85,10,TRUE),$X$10)</f>
        <v>-</v>
      </c>
      <c r="AH33" s="99" t="str">
        <f>IF(F33&lt;&gt;"",F33,IF(Y33&lt;&gt;"",Y33,""))</f>
        <v/>
      </c>
      <c r="AJ33" s="99" t="str">
        <f t="shared" si="0"/>
        <v/>
      </c>
      <c r="AK33" s="99" t="str">
        <f t="shared" si="1"/>
        <v/>
      </c>
      <c r="AL33" s="99" t="str">
        <f>IF(F33&lt;&gt;"",IFERROR(VLOOKUP(AH33,選手登録!$L$7:$O$56,4,FALSE),""),"")</f>
        <v/>
      </c>
      <c r="AM33" s="99" t="str">
        <f>IF(K33&lt;&gt;"",IFERROR(VLOOKUP(K33,馬匹登録!$B$8:$G$54,6,FALSE),""),"")</f>
        <v/>
      </c>
      <c r="AN33" s="99" t="str">
        <f>IFERROR(VLOOKUP(L33,リスト!$H$2:$I$5,2,FALSE),"")</f>
        <v/>
      </c>
      <c r="AO33" s="99" t="str">
        <f t="shared" si="2"/>
        <v/>
      </c>
      <c r="AP33" s="99" t="str">
        <f t="shared" si="3"/>
        <v/>
      </c>
      <c r="AQ33" s="99" t="str">
        <f t="shared" si="4"/>
        <v/>
      </c>
      <c r="AR33" s="99" t="str">
        <f t="shared" si="5"/>
        <v/>
      </c>
      <c r="AS33" s="99" t="str">
        <f t="shared" si="6"/>
        <v/>
      </c>
      <c r="AT33" s="99" t="str">
        <f t="shared" si="7"/>
        <v/>
      </c>
      <c r="AU33" s="99" t="str">
        <f t="shared" si="8"/>
        <v/>
      </c>
      <c r="AV33" s="99" t="str">
        <f t="shared" si="9"/>
        <v/>
      </c>
      <c r="AW33" s="99" t="str">
        <f t="shared" si="10"/>
        <v/>
      </c>
      <c r="AX33" s="99"/>
      <c r="AZ33" s="99">
        <f t="shared" si="19"/>
        <v>0</v>
      </c>
      <c r="BA33" s="99" t="str">
        <f t="shared" si="12"/>
        <v/>
      </c>
      <c r="BB33" s="99">
        <f t="shared" si="13"/>
        <v>10</v>
      </c>
      <c r="BC33" s="99" t="str">
        <f t="shared" si="14"/>
        <v/>
      </c>
      <c r="BD33" s="99" t="str">
        <f t="shared" si="15"/>
        <v/>
      </c>
      <c r="BF33" s="99">
        <f t="shared" si="20"/>
        <v>0</v>
      </c>
      <c r="BG33" s="99" t="str">
        <f t="shared" si="21"/>
        <v/>
      </c>
      <c r="BH33" s="99">
        <f t="shared" si="16"/>
        <v>10</v>
      </c>
      <c r="BI33" s="99" t="str">
        <f t="shared" si="17"/>
        <v/>
      </c>
      <c r="BJ33" s="99" t="str">
        <f t="shared" si="18"/>
        <v/>
      </c>
    </row>
    <row r="34" spans="1:62" ht="22.5" customHeight="1" thickBot="1" x14ac:dyDescent="0.45">
      <c r="A34" s="384"/>
      <c r="B34" s="385"/>
      <c r="C34" s="239" t="str">
        <f>IF(OR(R33=2),"変更後","")</f>
        <v/>
      </c>
      <c r="D34" s="153"/>
      <c r="E34" s="242"/>
      <c r="F34" s="242"/>
      <c r="G34" s="242"/>
      <c r="H34" s="242"/>
      <c r="I34" s="242"/>
      <c r="J34" s="242"/>
      <c r="K34" s="242"/>
      <c r="L34" s="245"/>
      <c r="M34" s="250" t="str">
        <f>IF(AND(V34&lt;&gt;"",L34&lt;&gt;"",R33=2),IFERROR(VLOOKUP(V34,競技一覧!$T$5:$Z$50,3+VLOOKUP(L34,リスト!$H$2:$I$5,2,FALSE),FALSE),""),"")</f>
        <v/>
      </c>
      <c r="N34" s="378"/>
      <c r="O34" s="261" t="s">
        <v>11</v>
      </c>
      <c r="P34" s="235"/>
      <c r="R34" s="99" t="str">
        <f>R33</f>
        <v/>
      </c>
      <c r="S34" s="99" t="str">
        <f>$Y$10</f>
        <v>W10</v>
      </c>
      <c r="T34" s="99" t="str">
        <f>IF(R33=2,$Y$7,$Y$10)</f>
        <v>W10</v>
      </c>
      <c r="U34" s="99"/>
      <c r="V34" s="99" t="str">
        <f>IF(AND(E34&lt;&gt;"",E34&lt;&gt;"-"),VLOOKUP(E34,競技一覧!$P$5:$T$50,5,FALSE),"")</f>
        <v/>
      </c>
      <c r="W34" s="99" t="str">
        <f>IF(OR(R34=2),$Y$8,$Y$10)</f>
        <v>W10</v>
      </c>
      <c r="X34" s="99"/>
      <c r="Y34" s="99"/>
      <c r="Z34" s="99" t="str">
        <f>IF(R34=2,$AB$9,IF(R34=4,$AE$7,$Y$10))</f>
        <v>W10</v>
      </c>
      <c r="AA34" s="99" t="str">
        <f>IF(AND(F34&lt;&gt;"",F34&lt;&gt;"-",R34=2),VLOOKUP(F34,選手登録!$L$7:$M$31,2,FALSE),"-")</f>
        <v>-</v>
      </c>
      <c r="AB34" s="99" t="str">
        <f ca="1">IF(OR(R34=2),CELL("address",AC34),IF(OR(R34=4,R34=5),"",$Y$10))</f>
        <v>W10</v>
      </c>
      <c r="AC34" s="99" t="str">
        <f>IF(AND(F34&lt;&gt;"",F34&lt;&gt;"-",R34=2),VLOOKUP(F34,選手登録!$L$7:$N$31,3,FALSE),"-")</f>
        <v>-</v>
      </c>
      <c r="AD34" s="99" t="str">
        <f>IF(OR(R34=2),$Y$9,IF(R34=5,"",$Y$10))</f>
        <v>W10</v>
      </c>
      <c r="AE34" s="99" t="str">
        <f>IF(AND(D34&lt;&gt;"",D34&lt;&gt;"-",OR(R34=2,R34=3)),VLOOKUP(D34,エントリー!$A$6:$K$85,8,TRUE),$Y$10)</f>
        <v>W10</v>
      </c>
      <c r="AF34" s="99" t="str">
        <f>IF(R34=2,VLOOKUP(V34,競技一覧!$T$5:$AA$50,8,TRUE),$Y$10)</f>
        <v>W10</v>
      </c>
      <c r="AG34" s="99"/>
      <c r="AH34" s="99"/>
      <c r="AJ34" s="99" t="str">
        <f t="shared" si="0"/>
        <v/>
      </c>
      <c r="AK34" s="99" t="str">
        <f t="shared" si="1"/>
        <v/>
      </c>
      <c r="AL34" s="99" t="str">
        <f>IF(F34&lt;&gt;"",IFERROR(VLOOKUP(AH34,選手登録!$L$7:$O$56,4,FALSE),""),"")</f>
        <v/>
      </c>
      <c r="AM34" s="99" t="str">
        <f>IF(K34&lt;&gt;"",IFERROR(VLOOKUP(K34,馬匹登録!$B$8:$G$54,6,FALSE),""),"")</f>
        <v/>
      </c>
      <c r="AN34" s="99" t="str">
        <f>IFERROR(VLOOKUP(L34,リスト!$H$2:$I$5,2,FALSE),"")</f>
        <v/>
      </c>
      <c r="AO34" s="99" t="str">
        <f t="shared" si="2"/>
        <v/>
      </c>
      <c r="AP34" s="99" t="str">
        <f t="shared" si="3"/>
        <v/>
      </c>
      <c r="AQ34" s="99" t="str">
        <f t="shared" si="4"/>
        <v/>
      </c>
      <c r="AR34" s="99" t="str">
        <f t="shared" si="5"/>
        <v/>
      </c>
      <c r="AS34" s="99" t="str">
        <f t="shared" si="6"/>
        <v/>
      </c>
      <c r="AT34" s="99" t="str">
        <f t="shared" si="7"/>
        <v/>
      </c>
      <c r="AU34" s="99">
        <f t="shared" si="8"/>
        <v>0</v>
      </c>
      <c r="AV34" s="99" t="str">
        <f t="shared" si="9"/>
        <v>-</v>
      </c>
      <c r="AW34" s="99" t="str">
        <f t="shared" si="10"/>
        <v/>
      </c>
      <c r="AX34" s="99"/>
      <c r="AZ34" s="99">
        <f t="shared" si="19"/>
        <v>0</v>
      </c>
      <c r="BA34" s="99" t="str">
        <f t="shared" si="12"/>
        <v/>
      </c>
      <c r="BB34" s="99">
        <f t="shared" si="13"/>
        <v>0</v>
      </c>
      <c r="BC34" s="99" t="str">
        <f t="shared" si="14"/>
        <v/>
      </c>
      <c r="BD34" s="99" t="str">
        <f t="shared" si="15"/>
        <v/>
      </c>
      <c r="BF34" s="99">
        <f t="shared" si="20"/>
        <v>0</v>
      </c>
      <c r="BG34" s="99"/>
      <c r="BH34" s="99">
        <f t="shared" si="16"/>
        <v>0</v>
      </c>
      <c r="BI34" s="99" t="str">
        <f t="shared" si="17"/>
        <v/>
      </c>
      <c r="BJ34" s="99" t="str">
        <f t="shared" si="18"/>
        <v/>
      </c>
    </row>
    <row r="35" spans="1:62" ht="22.5" customHeight="1" x14ac:dyDescent="0.4">
      <c r="A35" s="380">
        <v>11</v>
      </c>
      <c r="B35" s="382"/>
      <c r="C35" s="237" t="str">
        <f>IF(OR(R35=2),"変更前","")</f>
        <v/>
      </c>
      <c r="D35" s="141"/>
      <c r="E35" s="240"/>
      <c r="F35" s="240"/>
      <c r="G35" s="240"/>
      <c r="H35" s="240"/>
      <c r="I35" s="240"/>
      <c r="J35" s="240"/>
      <c r="K35" s="240"/>
      <c r="L35" s="247"/>
      <c r="M35" s="252" t="str">
        <f>IF(AND(V35&lt;&gt;"",L35&lt;&gt;"",OR(R35=1,R35=2,R35=3)),IFERROR(VLOOKUP(V35,競技一覧!$T$5:$Z$50,3+VLOOKUP(L35,リスト!$H$2:$I$5,2,FALSE),FALSE) * IF(R35=1,1,-1),""),IF(R35=5,設定!$B$13,IF(R35=6,-1*設定!$B$13,"")))</f>
        <v/>
      </c>
      <c r="N35" s="379" t="str">
        <f>IF($B35&lt;&gt;"",IFERROR(VALUE(M36),0)+IFERROR(VALUE(M35),0),"")</f>
        <v/>
      </c>
      <c r="O35" s="3" t="str">
        <f>IF(OR($R35=1,$R35=2,$R35=3),設定!$B$14,IF($B35&lt;&gt;"",0,""))</f>
        <v/>
      </c>
      <c r="P35" s="236"/>
      <c r="R35" s="99" t="str">
        <f>IF(B35&lt;&gt;"",VLOOKUP(B35,リスト!$N$2:$O$9,2,FALSE),"")</f>
        <v/>
      </c>
      <c r="S35" s="99" t="str">
        <f>IF(OR(R35=2,R35=3),$AB$7,$Y$10)</f>
        <v>W10</v>
      </c>
      <c r="T35" s="99" t="str">
        <f ca="1">IF(OR(R35=2,R35=3),CELL("address",U35),IF(R35=1,$Y$7,$Y$10))</f>
        <v>W10</v>
      </c>
      <c r="U35" s="99" t="str">
        <f>IF(AND(OR(R35=2, R35=3),D35&lt;&gt;"",D35&lt;&gt;"-"),VLOOKUP(D35,エントリー!$A$6:$K$85,6,TRUE),"-")</f>
        <v>-</v>
      </c>
      <c r="V35" s="99" t="str">
        <f>IF(AND(E35&lt;&gt;"",E35&lt;&gt;"-"),VLOOKUP(E35,競技一覧!$P$5:$T$50,5,FALSE),"")</f>
        <v/>
      </c>
      <c r="W35" s="99" t="str">
        <f ca="1">IF(OR(R35=2,R35=3),CELL("address",X35),IF(OR(R35=4),CELL("address",Y35),IF(R35=1,$Y$8,$Y$10)))</f>
        <v>W10</v>
      </c>
      <c r="X35" s="99" t="str">
        <f>IF(AND(D35&lt;&gt;"",D35&lt;&gt;"-"),VLOOKUP(D35,エントリー!$A$6:$K$85,7,TRUE),"-")</f>
        <v>-</v>
      </c>
      <c r="Y35" s="99" t="str">
        <f>IF(R35=4,G35 &amp; " " &amp; H35,"")</f>
        <v/>
      </c>
      <c r="Z35" s="99" t="str">
        <f ca="1">IF(R35=4,$AB$9,IF(OR(R35=1,R35=2,R35=3),CELL("address",AA35),$Y$10))</f>
        <v>W10</v>
      </c>
      <c r="AA35" s="99" t="str">
        <f>IF(AND(F35&lt;&gt;"",F35&lt;&gt;"-",OR(R35=1,R35=2,R35=3)),VLOOKUP(F35,選手登録!$L$7:$M$31,2,FALSE),"-")</f>
        <v>-</v>
      </c>
      <c r="AB35" s="99" t="str">
        <f ca="1">IF(OR(R35=1,R35=2,R35=3),CELL("address",AC35),IF(OR(R35=4),$AB$10,$Y$10))</f>
        <v>W10</v>
      </c>
      <c r="AC35" s="99" t="str">
        <f>IF(AND(F35&lt;&gt;"",F35&lt;&gt;"-",OR(R35=1,R35=2,R35=3)),VLOOKUP(F35,選手登録!$L$7:$N$31,3,FALSE),"-")</f>
        <v>-</v>
      </c>
      <c r="AD35" s="99" t="str">
        <f ca="1">IF(OR(R35=2,R35=3),CELL("address",AE35),IF(OR(R35=1,R35=6),$Y$9,IF(R35=5,"",$Y$10)))</f>
        <v>W10</v>
      </c>
      <c r="AE35" s="99" t="str">
        <f>IF(AND(D35&lt;&gt;"",D35&lt;&gt;"-",OR(R35=2,R35=3)),VLOOKUP(D35,エントリー!$A$6:$K$85,8,TRUE),$Y$10)</f>
        <v>W10</v>
      </c>
      <c r="AF35" s="99" t="str">
        <f ca="1">IF(OR(R35=2,R35=3),CELL("address",AG35),IF(R35=1,VLOOKUP(V35,競技一覧!$T$5:$AA$50,8,TRUE),$Y$10))</f>
        <v>W10</v>
      </c>
      <c r="AG35" s="99" t="str">
        <f>IF(AND(OR(R35=2,R35=3),D35&lt;&gt;"",D35&lt;&gt;"-"),VLOOKUP(D35,エントリー!$A$6:$J$85,10,TRUE),$X$10)</f>
        <v>-</v>
      </c>
      <c r="AH35" s="99" t="str">
        <f>IF(F35&lt;&gt;"",F35,IF(Y35&lt;&gt;"",Y35,""))</f>
        <v/>
      </c>
      <c r="AJ35" s="99" t="str">
        <f>R35</f>
        <v/>
      </c>
      <c r="AK35" s="99" t="str">
        <f>V35</f>
        <v/>
      </c>
      <c r="AL35" s="99" t="str">
        <f>IF(F35&lt;&gt;"",IFERROR(VLOOKUP(AH35,選手登録!$L$7:$O$56,4,FALSE),""),"")</f>
        <v/>
      </c>
      <c r="AM35" s="99" t="str">
        <f>IF(K35&lt;&gt;"",IFERROR(VLOOKUP(K35,馬匹登録!$B$8:$G$54,6,FALSE),""),"")</f>
        <v/>
      </c>
      <c r="AN35" s="99" t="str">
        <f>IFERROR(VLOOKUP(L35,リスト!$H$2:$I$5,2,FALSE),"")</f>
        <v/>
      </c>
      <c r="AO35" s="99" t="str">
        <f>IF($R35=4,G35,"")</f>
        <v/>
      </c>
      <c r="AP35" s="99" t="str">
        <f t="shared" si="3"/>
        <v/>
      </c>
      <c r="AQ35" s="99" t="str">
        <f t="shared" si="4"/>
        <v/>
      </c>
      <c r="AR35" s="99" t="str">
        <f>IF(OR($R35=4,$R35=5),J35,"")</f>
        <v/>
      </c>
      <c r="AS35" s="99" t="str">
        <f>IF($R35=5,K35,"")</f>
        <v/>
      </c>
      <c r="AT35" s="99" t="str">
        <f>M35</f>
        <v/>
      </c>
      <c r="AU35" s="99" t="str">
        <f t="shared" si="8"/>
        <v/>
      </c>
      <c r="AV35" s="99" t="str">
        <f t="shared" si="9"/>
        <v/>
      </c>
      <c r="AW35" s="99" t="str">
        <f t="shared" si="10"/>
        <v/>
      </c>
      <c r="AX35" s="99"/>
      <c r="AZ35" s="99">
        <f t="shared" si="19"/>
        <v>0</v>
      </c>
      <c r="BA35" s="99" t="str">
        <f t="shared" si="12"/>
        <v/>
      </c>
      <c r="BB35" s="99">
        <f t="shared" si="13"/>
        <v>11</v>
      </c>
      <c r="BC35" s="99" t="str">
        <f t="shared" si="14"/>
        <v/>
      </c>
      <c r="BD35" s="99" t="str">
        <f t="shared" si="15"/>
        <v/>
      </c>
      <c r="BF35" s="99">
        <f t="shared" si="20"/>
        <v>0</v>
      </c>
      <c r="BG35" s="99" t="str">
        <f t="shared" si="21"/>
        <v/>
      </c>
      <c r="BH35" s="99">
        <f t="shared" si="16"/>
        <v>11</v>
      </c>
      <c r="BI35" s="99" t="str">
        <f t="shared" si="17"/>
        <v/>
      </c>
      <c r="BJ35" s="99" t="str">
        <f t="shared" si="18"/>
        <v/>
      </c>
    </row>
    <row r="36" spans="1:62" ht="22.5" customHeight="1" x14ac:dyDescent="0.4">
      <c r="A36" s="381"/>
      <c r="B36" s="383"/>
      <c r="C36" s="238" t="str">
        <f>IF(OR(R35=2),"変更後","")</f>
        <v/>
      </c>
      <c r="D36" s="142"/>
      <c r="E36" s="241"/>
      <c r="F36" s="241"/>
      <c r="G36" s="241"/>
      <c r="H36" s="241"/>
      <c r="I36" s="241"/>
      <c r="J36" s="241"/>
      <c r="K36" s="241"/>
      <c r="L36" s="244"/>
      <c r="M36" s="248" t="str">
        <f>IF(AND(V36&lt;&gt;"",L36&lt;&gt;"",R35=2),IFERROR(VLOOKUP(V36,競技一覧!$T$5:$Z$50,3+VLOOKUP(L36,リスト!$H$2:$I$5,2,FALSE),FALSE),""),"")</f>
        <v/>
      </c>
      <c r="N36" s="307"/>
      <c r="O36" s="12" t="s">
        <v>235</v>
      </c>
      <c r="P36" s="234"/>
      <c r="R36" s="99" t="str">
        <f>R35</f>
        <v/>
      </c>
      <c r="S36" s="99" t="str">
        <f>$Y$10</f>
        <v>W10</v>
      </c>
      <c r="T36" s="99" t="str">
        <f>IF(R35=2,$Y$7,$Y$10)</f>
        <v>W10</v>
      </c>
      <c r="U36" s="99"/>
      <c r="V36" s="99" t="str">
        <f>IF(AND(E36&lt;&gt;"",E36&lt;&gt;"-"),VLOOKUP(E36,競技一覧!$P$5:$T$50,5,FALSE),"")</f>
        <v/>
      </c>
      <c r="W36" s="99" t="str">
        <f>IF(OR(R36=2),$Y$8,$Y$10)</f>
        <v>W10</v>
      </c>
      <c r="X36" s="99"/>
      <c r="Y36" s="99"/>
      <c r="Z36" s="99" t="str">
        <f>IF(R36=2,$AB$9,IF(R36=4,$AE$7,$Y$10))</f>
        <v>W10</v>
      </c>
      <c r="AA36" s="99" t="str">
        <f>IF(AND(F36&lt;&gt;"",F36&lt;&gt;"-",R36=2),VLOOKUP(F36,選手登録!$L$7:$M$31,2,FALSE),"-")</f>
        <v>-</v>
      </c>
      <c r="AB36" s="99" t="str">
        <f ca="1">IF(OR(R36=2),CELL("address",AC36),IF(OR(R36=4,R36=5),"",$Y$10))</f>
        <v>W10</v>
      </c>
      <c r="AC36" s="99" t="str">
        <f>IF(AND(F36&lt;&gt;"",F36&lt;&gt;"-",R36=2),VLOOKUP(F36,選手登録!$L$7:$N$31,3,FALSE),"-")</f>
        <v>-</v>
      </c>
      <c r="AD36" s="99" t="str">
        <f>IF(OR(R36=2),$Y$9,IF(R36=5,"",$Y$10))</f>
        <v>W10</v>
      </c>
      <c r="AE36" s="99" t="str">
        <f>IF(AND(D36&lt;&gt;"",D36&lt;&gt;"-",OR(R36=2,R36=3)),VLOOKUP(D36,エントリー!$A$6:$K$85,8,TRUE),$Y$10)</f>
        <v>W10</v>
      </c>
      <c r="AF36" s="99" t="str">
        <f>IF(R36=2,VLOOKUP(V36,競技一覧!$T$5:$AA$50,8,TRUE),$Y$10)</f>
        <v>W10</v>
      </c>
      <c r="AG36" s="99"/>
      <c r="AH36" s="99"/>
      <c r="AJ36" s="99" t="str">
        <f t="shared" ref="AJ36:AJ54" si="22">R36</f>
        <v/>
      </c>
      <c r="AK36" s="99" t="str">
        <f t="shared" ref="AK36:AK54" si="23">V36</f>
        <v/>
      </c>
      <c r="AL36" s="99" t="str">
        <f>IF(F36&lt;&gt;"",IFERROR(VLOOKUP(AH36,選手登録!$L$7:$O$56,4,FALSE),""),"")</f>
        <v/>
      </c>
      <c r="AM36" s="99" t="str">
        <f>IF(K36&lt;&gt;"",IFERROR(VLOOKUP(K36,馬匹登録!$B$8:$G$54,6,FALSE),""),"")</f>
        <v/>
      </c>
      <c r="AN36" s="99" t="str">
        <f>IFERROR(VLOOKUP(L36,リスト!$H$2:$I$5,2,FALSE),"")</f>
        <v/>
      </c>
      <c r="AO36" s="99" t="str">
        <f t="shared" ref="AO36:AO54" si="24">IF($R36=4,G36,"")</f>
        <v/>
      </c>
      <c r="AP36" s="99" t="str">
        <f t="shared" ref="AP36:AP54" si="25">IF($R36=4,H36,"")</f>
        <v/>
      </c>
      <c r="AQ36" s="99" t="str">
        <f t="shared" ref="AQ36:AQ54" si="26">IF($R36=4,I36,"")</f>
        <v/>
      </c>
      <c r="AR36" s="99" t="str">
        <f t="shared" ref="AR36:AR54" si="27">IF(OR($R36=4,$R36=5),J36,"")</f>
        <v/>
      </c>
      <c r="AS36" s="99" t="str">
        <f t="shared" ref="AS36:AS54" si="28">IF($R36=5,K36,"")</f>
        <v/>
      </c>
      <c r="AT36" s="99" t="str">
        <f t="shared" ref="AT36:AT54" si="29">M36</f>
        <v/>
      </c>
      <c r="AU36" s="99">
        <f t="shared" ref="AU36:AU53" si="30">N36</f>
        <v>0</v>
      </c>
      <c r="AV36" s="99" t="str">
        <f t="shared" ref="AV36:AV54" si="31">O36</f>
        <v>-</v>
      </c>
      <c r="AW36" s="99" t="str">
        <f t="shared" si="10"/>
        <v/>
      </c>
      <c r="AX36" s="99"/>
      <c r="AZ36" s="99">
        <f t="shared" si="19"/>
        <v>0</v>
      </c>
      <c r="BA36" s="99" t="str">
        <f t="shared" si="12"/>
        <v/>
      </c>
      <c r="BB36" s="99">
        <f t="shared" si="13"/>
        <v>0</v>
      </c>
      <c r="BC36" s="99" t="str">
        <f t="shared" si="14"/>
        <v/>
      </c>
      <c r="BD36" s="99" t="str">
        <f t="shared" si="15"/>
        <v/>
      </c>
      <c r="BF36" s="99">
        <f t="shared" si="20"/>
        <v>0</v>
      </c>
      <c r="BG36" s="99"/>
      <c r="BH36" s="99">
        <f t="shared" si="16"/>
        <v>0</v>
      </c>
      <c r="BI36" s="99" t="str">
        <f t="shared" si="17"/>
        <v/>
      </c>
      <c r="BJ36" s="99" t="str">
        <f t="shared" si="18"/>
        <v/>
      </c>
    </row>
    <row r="37" spans="1:62" ht="22.5" customHeight="1" x14ac:dyDescent="0.4">
      <c r="A37" s="380">
        <v>12</v>
      </c>
      <c r="B37" s="382"/>
      <c r="C37" s="237" t="str">
        <f>IF(OR(R37=2),"変更前","")</f>
        <v/>
      </c>
      <c r="D37" s="141"/>
      <c r="E37" s="240"/>
      <c r="F37" s="240"/>
      <c r="G37" s="240"/>
      <c r="H37" s="240"/>
      <c r="I37" s="240"/>
      <c r="J37" s="240"/>
      <c r="K37" s="240"/>
      <c r="L37" s="243"/>
      <c r="M37" s="227" t="str">
        <f>IF(AND(V37&lt;&gt;"",L37&lt;&gt;"",OR(R37=1,R37=2,R37=3)),IFERROR(VLOOKUP(V37,競技一覧!$T$5:$Z$50,3+VLOOKUP(L37,リスト!$H$2:$I$5,2,FALSE),FALSE) * IF(R37=1,1,-1),""),IF(R37=5,設定!$B$13,IF(R37=6,-1*設定!$B$13,"")))</f>
        <v/>
      </c>
      <c r="N37" s="377" t="str">
        <f>IF($B37&lt;&gt;"",IFERROR(VALUE(M38),0)+IFERROR(VALUE(M37),0),"")</f>
        <v/>
      </c>
      <c r="O37" s="9" t="str">
        <f>IF(OR($R37=1,$R37=2,$R37=3),設定!$B$14,IF($B37&lt;&gt;"",0,""))</f>
        <v/>
      </c>
      <c r="P37" s="233"/>
      <c r="R37" s="99" t="str">
        <f>IF(B37&lt;&gt;"",VLOOKUP(B37,リスト!$N$2:$O$9,2,FALSE),"")</f>
        <v/>
      </c>
      <c r="S37" s="99" t="str">
        <f>IF(OR(R37=2,R37=3),$AB$7,$Y$10)</f>
        <v>W10</v>
      </c>
      <c r="T37" s="99" t="str">
        <f ca="1">IF(OR(R37=2,R37=3),CELL("address",U37),IF(R37=1,$Y$7,$Y$10))</f>
        <v>W10</v>
      </c>
      <c r="U37" s="99" t="str">
        <f>IF(AND(OR(R37=2, R37=3),D37&lt;&gt;"",D37&lt;&gt;"-"),VLOOKUP(D37,エントリー!$A$6:$K$85,6,TRUE),"-")</f>
        <v>-</v>
      </c>
      <c r="V37" s="99" t="str">
        <f>IF(AND(E37&lt;&gt;"",E37&lt;&gt;"-"),VLOOKUP(E37,競技一覧!$P$5:$T$50,5,FALSE),"")</f>
        <v/>
      </c>
      <c r="W37" s="99" t="str">
        <f ca="1">IF(OR(R37=2,R37=3),CELL("address",X37),IF(OR(R37=4),CELL("address",Y37),IF(R37=1,$Y$8,$Y$10)))</f>
        <v>W10</v>
      </c>
      <c r="X37" s="99" t="str">
        <f>IF(AND(D37&lt;&gt;"",D37&lt;&gt;"-"),VLOOKUP(D37,エントリー!$A$6:$K$85,7,TRUE),"-")</f>
        <v>-</v>
      </c>
      <c r="Y37" s="99" t="str">
        <f>IF(R37=4,G37 &amp; " " &amp; H37,"")</f>
        <v/>
      </c>
      <c r="Z37" s="99" t="str">
        <f ca="1">IF(R37=4,$AB$9,IF(OR(R37=1,R37=2,R37=3),CELL("address",AA37),$Y$10))</f>
        <v>W10</v>
      </c>
      <c r="AA37" s="99" t="str">
        <f>IF(AND(F37&lt;&gt;"",F37&lt;&gt;"-",OR(R37=1,R37=2,R37=3)),VLOOKUP(F37,選手登録!$L$7:$M$31,2,FALSE),"-")</f>
        <v>-</v>
      </c>
      <c r="AB37" s="99" t="str">
        <f ca="1">IF(OR(R37=1,R37=2,R37=3),CELL("address",AC37),IF(OR(R37=4),$AB$10,$Y$10))</f>
        <v>W10</v>
      </c>
      <c r="AC37" s="99" t="str">
        <f>IF(AND(F37&lt;&gt;"",F37&lt;&gt;"-",OR(R37=1,R37=2,R37=3)),VLOOKUP(F37,選手登録!$L$7:$N$31,3,FALSE),"-")</f>
        <v>-</v>
      </c>
      <c r="AD37" s="99" t="str">
        <f ca="1">IF(OR(R37=2,R37=3),CELL("address",AE37),IF(OR(R37=1,R37=6),$Y$9,IF(R37=5,"",$Y$10)))</f>
        <v>W10</v>
      </c>
      <c r="AE37" s="99" t="str">
        <f>IF(AND(D37&lt;&gt;"",D37&lt;&gt;"-",OR(R37=2,R37=3)),VLOOKUP(D37,エントリー!$A$6:$K$85,8,TRUE),$Y$10)</f>
        <v>W10</v>
      </c>
      <c r="AF37" s="99" t="str">
        <f ca="1">IF(OR(R37=2,R37=3),CELL("address",AG37),IF(R37=1,VLOOKUP(V37,競技一覧!$T$5:$AA$50,8,TRUE),$Y$10))</f>
        <v>W10</v>
      </c>
      <c r="AG37" s="99" t="str">
        <f>IF(AND(OR(R37=2,R37=3),D37&lt;&gt;"",D37&lt;&gt;"-"),VLOOKUP(D37,エントリー!$A$6:$J$85,10,TRUE),$X$10)</f>
        <v>-</v>
      </c>
      <c r="AH37" s="99" t="str">
        <f>IF(F37&lt;&gt;"",F37,IF(Y37&lt;&gt;"",Y37,""))</f>
        <v/>
      </c>
      <c r="AJ37" s="99" t="str">
        <f t="shared" si="22"/>
        <v/>
      </c>
      <c r="AK37" s="99" t="str">
        <f t="shared" si="23"/>
        <v/>
      </c>
      <c r="AL37" s="99" t="str">
        <f>IF(F37&lt;&gt;"",IFERROR(VLOOKUP(AH37,選手登録!$L$7:$O$56,4,FALSE),""),"")</f>
        <v/>
      </c>
      <c r="AM37" s="99" t="str">
        <f>IF(K37&lt;&gt;"",IFERROR(VLOOKUP(K37,馬匹登録!$B$8:$G$54,6,FALSE),""),"")</f>
        <v/>
      </c>
      <c r="AN37" s="99" t="str">
        <f>IFERROR(VLOOKUP(L37,リスト!$H$2:$I$5,2,FALSE),"")</f>
        <v/>
      </c>
      <c r="AO37" s="99" t="str">
        <f t="shared" si="24"/>
        <v/>
      </c>
      <c r="AP37" s="99" t="str">
        <f t="shared" si="25"/>
        <v/>
      </c>
      <c r="AQ37" s="99" t="str">
        <f t="shared" si="26"/>
        <v/>
      </c>
      <c r="AR37" s="99" t="str">
        <f t="shared" si="27"/>
        <v/>
      </c>
      <c r="AS37" s="99" t="str">
        <f t="shared" si="28"/>
        <v/>
      </c>
      <c r="AT37" s="99" t="str">
        <f t="shared" si="29"/>
        <v/>
      </c>
      <c r="AU37" s="99" t="str">
        <f t="shared" si="30"/>
        <v/>
      </c>
      <c r="AV37" s="99" t="str">
        <f t="shared" si="31"/>
        <v/>
      </c>
      <c r="AW37" s="99" t="str">
        <f t="shared" si="10"/>
        <v/>
      </c>
      <c r="AX37" s="99"/>
      <c r="AZ37" s="99">
        <f t="shared" si="19"/>
        <v>0</v>
      </c>
      <c r="BA37" s="99" t="str">
        <f t="shared" si="12"/>
        <v/>
      </c>
      <c r="BB37" s="99">
        <f t="shared" si="13"/>
        <v>12</v>
      </c>
      <c r="BC37" s="99" t="str">
        <f t="shared" si="14"/>
        <v/>
      </c>
      <c r="BD37" s="99" t="str">
        <f t="shared" si="15"/>
        <v/>
      </c>
      <c r="BF37" s="99">
        <f t="shared" si="20"/>
        <v>0</v>
      </c>
      <c r="BG37" s="99" t="str">
        <f t="shared" si="21"/>
        <v/>
      </c>
      <c r="BH37" s="99">
        <f t="shared" si="16"/>
        <v>12</v>
      </c>
      <c r="BI37" s="99" t="str">
        <f t="shared" si="17"/>
        <v/>
      </c>
      <c r="BJ37" s="99" t="str">
        <f t="shared" si="18"/>
        <v/>
      </c>
    </row>
    <row r="38" spans="1:62" ht="22.5" customHeight="1" x14ac:dyDescent="0.4">
      <c r="A38" s="381"/>
      <c r="B38" s="383"/>
      <c r="C38" s="238" t="str">
        <f>IF(OR(R37=2),"変更後","")</f>
        <v/>
      </c>
      <c r="D38" s="142"/>
      <c r="E38" s="241"/>
      <c r="F38" s="241"/>
      <c r="G38" s="241"/>
      <c r="H38" s="241"/>
      <c r="I38" s="241"/>
      <c r="J38" s="241"/>
      <c r="K38" s="241"/>
      <c r="L38" s="244"/>
      <c r="M38" s="226" t="str">
        <f>IF(AND(V38&lt;&gt;"",L38&lt;&gt;"",R37=2),IFERROR(VLOOKUP(V38,競技一覧!$T$5:$Z$50,3+VLOOKUP(L38,リスト!$H$2:$I$5,2,FALSE),FALSE),""),"")</f>
        <v/>
      </c>
      <c r="N38" s="307"/>
      <c r="O38" s="12" t="s">
        <v>11</v>
      </c>
      <c r="P38" s="234"/>
      <c r="R38" s="99" t="str">
        <f>R37</f>
        <v/>
      </c>
      <c r="S38" s="99" t="str">
        <f>$Y$10</f>
        <v>W10</v>
      </c>
      <c r="T38" s="99" t="str">
        <f>IF(R37=2,$Y$7,$Y$10)</f>
        <v>W10</v>
      </c>
      <c r="U38" s="99"/>
      <c r="V38" s="99" t="str">
        <f>IF(AND(E38&lt;&gt;"",E38&lt;&gt;"-"),VLOOKUP(E38,競技一覧!$P$5:$T$50,5,FALSE),"")</f>
        <v/>
      </c>
      <c r="W38" s="99" t="str">
        <f>IF(OR(R38=2),$Y$8,$Y$10)</f>
        <v>W10</v>
      </c>
      <c r="X38" s="99"/>
      <c r="Y38" s="99"/>
      <c r="Z38" s="99" t="str">
        <f>IF(R38=2,$AB$9,IF(R38=4,$AE$7,$Y$10))</f>
        <v>W10</v>
      </c>
      <c r="AA38" s="99" t="str">
        <f>IF(AND(F38&lt;&gt;"",F38&lt;&gt;"-",R38=2),VLOOKUP(F38,選手登録!$L$7:$M$31,2,FALSE),"-")</f>
        <v>-</v>
      </c>
      <c r="AB38" s="99" t="str">
        <f ca="1">IF(OR(R38=2),CELL("address",AC38),IF(OR(R38=4,R38=5),"",$Y$10))</f>
        <v>W10</v>
      </c>
      <c r="AC38" s="99" t="str">
        <f>IF(AND(F38&lt;&gt;"",F38&lt;&gt;"-",R38=2),VLOOKUP(F38,選手登録!$L$7:$N$31,3,FALSE),"-")</f>
        <v>-</v>
      </c>
      <c r="AD38" s="99" t="str">
        <f>IF(OR(R38=2),$Y$9,IF(R38=5,"",$Y$10))</f>
        <v>W10</v>
      </c>
      <c r="AE38" s="99" t="str">
        <f>IF(AND(D38&lt;&gt;"",D38&lt;&gt;"-",OR(R38=2,R38=3)),VLOOKUP(D38,エントリー!$A$6:$K$85,8,TRUE),$Y$10)</f>
        <v>W10</v>
      </c>
      <c r="AF38" s="99" t="str">
        <f>IF(R38=2,VLOOKUP(V38,競技一覧!$T$5:$AA$50,8,TRUE),$Y$10)</f>
        <v>W10</v>
      </c>
      <c r="AG38" s="99"/>
      <c r="AH38" s="99"/>
      <c r="AJ38" s="99" t="str">
        <f t="shared" si="22"/>
        <v/>
      </c>
      <c r="AK38" s="99" t="str">
        <f t="shared" si="23"/>
        <v/>
      </c>
      <c r="AL38" s="99" t="str">
        <f>IF(F38&lt;&gt;"",IFERROR(VLOOKUP(AH38,選手登録!$L$7:$O$56,4,FALSE),""),"")</f>
        <v/>
      </c>
      <c r="AM38" s="99" t="str">
        <f>IF(K38&lt;&gt;"",IFERROR(VLOOKUP(K38,馬匹登録!$B$8:$G$54,6,FALSE),""),"")</f>
        <v/>
      </c>
      <c r="AN38" s="99" t="str">
        <f>IFERROR(VLOOKUP(L38,リスト!$H$2:$I$5,2,FALSE),"")</f>
        <v/>
      </c>
      <c r="AO38" s="99" t="str">
        <f t="shared" si="24"/>
        <v/>
      </c>
      <c r="AP38" s="99" t="str">
        <f t="shared" si="25"/>
        <v/>
      </c>
      <c r="AQ38" s="99" t="str">
        <f t="shared" si="26"/>
        <v/>
      </c>
      <c r="AR38" s="99" t="str">
        <f t="shared" si="27"/>
        <v/>
      </c>
      <c r="AS38" s="99" t="str">
        <f t="shared" si="28"/>
        <v/>
      </c>
      <c r="AT38" s="99" t="str">
        <f t="shared" si="29"/>
        <v/>
      </c>
      <c r="AU38" s="99">
        <f t="shared" si="30"/>
        <v>0</v>
      </c>
      <c r="AV38" s="99" t="str">
        <f t="shared" si="31"/>
        <v>-</v>
      </c>
      <c r="AW38" s="99" t="str">
        <f t="shared" si="10"/>
        <v/>
      </c>
      <c r="AX38" s="99"/>
      <c r="AZ38" s="99">
        <f t="shared" si="19"/>
        <v>0</v>
      </c>
      <c r="BA38" s="99" t="str">
        <f t="shared" si="12"/>
        <v/>
      </c>
      <c r="BB38" s="99">
        <f t="shared" si="13"/>
        <v>0</v>
      </c>
      <c r="BC38" s="99" t="str">
        <f t="shared" si="14"/>
        <v/>
      </c>
      <c r="BD38" s="99" t="str">
        <f t="shared" si="15"/>
        <v/>
      </c>
      <c r="BF38" s="99">
        <f t="shared" si="20"/>
        <v>0</v>
      </c>
      <c r="BG38" s="99"/>
      <c r="BH38" s="99">
        <f t="shared" si="16"/>
        <v>0</v>
      </c>
      <c r="BI38" s="99" t="str">
        <f t="shared" si="17"/>
        <v/>
      </c>
      <c r="BJ38" s="99" t="str">
        <f t="shared" si="18"/>
        <v/>
      </c>
    </row>
    <row r="39" spans="1:62" ht="22.5" customHeight="1" x14ac:dyDescent="0.4">
      <c r="A39" s="380">
        <v>13</v>
      </c>
      <c r="B39" s="382"/>
      <c r="C39" s="237" t="str">
        <f>IF(OR(R39=2),"変更前","")</f>
        <v/>
      </c>
      <c r="D39" s="141"/>
      <c r="E39" s="240"/>
      <c r="F39" s="240"/>
      <c r="G39" s="240"/>
      <c r="H39" s="240"/>
      <c r="I39" s="240"/>
      <c r="J39" s="240"/>
      <c r="K39" s="240"/>
      <c r="L39" s="243"/>
      <c r="M39" s="227" t="str">
        <f>IF(AND(V39&lt;&gt;"",L39&lt;&gt;"",OR(R39=1,R39=2,R39=3)),IFERROR(VLOOKUP(V39,競技一覧!$T$5:$Z$50,3+VLOOKUP(L39,リスト!$H$2:$I$5,2,FALSE),FALSE) * IF(R39=1,1,-1),""),IF(R39=5,設定!$B$13,IF(R39=6,-1*設定!$B$13,"")))</f>
        <v/>
      </c>
      <c r="N39" s="377" t="str">
        <f>IF($B39&lt;&gt;"",IFERROR(VALUE(M40),0)+IFERROR(VALUE(M39),0),"")</f>
        <v/>
      </c>
      <c r="O39" s="9" t="str">
        <f>IF(OR($R39=1,$R39=2,$R39=3),設定!$B$14,IF($B39&lt;&gt;"",0,""))</f>
        <v/>
      </c>
      <c r="P39" s="233"/>
      <c r="R39" s="99" t="str">
        <f>IF(B39&lt;&gt;"",VLOOKUP(B39,リスト!$N$2:$O$9,2,FALSE),"")</f>
        <v/>
      </c>
      <c r="S39" s="99" t="str">
        <f>IF(OR(R39=2,R39=3),$AB$7,$Y$10)</f>
        <v>W10</v>
      </c>
      <c r="T39" s="99" t="str">
        <f ca="1">IF(OR(R39=2,R39=3),CELL("address",U39),IF(R39=1,$Y$7,$Y$10))</f>
        <v>W10</v>
      </c>
      <c r="U39" s="99" t="str">
        <f>IF(AND(OR(R39=2, R39=3),D39&lt;&gt;"",D39&lt;&gt;"-"),VLOOKUP(D39,エントリー!$A$6:$K$85,6,TRUE),"-")</f>
        <v>-</v>
      </c>
      <c r="V39" s="99" t="str">
        <f>IF(AND(E39&lt;&gt;"",E39&lt;&gt;"-"),VLOOKUP(E39,競技一覧!$P$5:$T$50,5,FALSE),"")</f>
        <v/>
      </c>
      <c r="W39" s="99" t="str">
        <f ca="1">IF(OR(R39=2,R39=3),CELL("address",X39),IF(OR(R39=4),CELL("address",Y39),IF(R39=1,$Y$8,$Y$10)))</f>
        <v>W10</v>
      </c>
      <c r="X39" s="99" t="str">
        <f>IF(AND(D39&lt;&gt;"",D39&lt;&gt;"-"),VLOOKUP(D39,エントリー!$A$6:$K$85,7,TRUE),"-")</f>
        <v>-</v>
      </c>
      <c r="Y39" s="99" t="str">
        <f>IF(R39=4,G39 &amp; " " &amp; H39,"")</f>
        <v/>
      </c>
      <c r="Z39" s="99" t="str">
        <f ca="1">IF(R39=4,$AB$9,IF(OR(R39=1,R39=2,R39=3),CELL("address",AA39),$Y$10))</f>
        <v>W10</v>
      </c>
      <c r="AA39" s="99" t="str">
        <f>IF(AND(F39&lt;&gt;"",F39&lt;&gt;"-",OR(R39=1,R39=2,R39=3)),VLOOKUP(F39,選手登録!$L$7:$M$31,2,FALSE),"-")</f>
        <v>-</v>
      </c>
      <c r="AB39" s="99" t="str">
        <f ca="1">IF(OR(R39=1,R39=2,R39=3),CELL("address",AC39),IF(OR(R39=4),$AB$10,$Y$10))</f>
        <v>W10</v>
      </c>
      <c r="AC39" s="99" t="str">
        <f>IF(AND(F39&lt;&gt;"",F39&lt;&gt;"-",OR(R39=1,R39=2,R39=3)),VLOOKUP(F39,選手登録!$L$7:$N$31,3,FALSE),"-")</f>
        <v>-</v>
      </c>
      <c r="AD39" s="99" t="str">
        <f ca="1">IF(OR(R39=2,R39=3),CELL("address",AE39),IF(OR(R39=1,R39=6),$Y$9,IF(R39=5,"",$Y$10)))</f>
        <v>W10</v>
      </c>
      <c r="AE39" s="99" t="str">
        <f>IF(AND(D39&lt;&gt;"",D39&lt;&gt;"-",OR(R39=2,R39=3)),VLOOKUP(D39,エントリー!$A$6:$K$85,8,TRUE),$Y$10)</f>
        <v>W10</v>
      </c>
      <c r="AF39" s="99" t="str">
        <f ca="1">IF(OR(R39=2,R39=3),CELL("address",AG39),IF(R39=1,VLOOKUP(V39,競技一覧!$T$5:$AA$50,8,TRUE),$Y$10))</f>
        <v>W10</v>
      </c>
      <c r="AG39" s="99" t="str">
        <f>IF(AND(OR(R39=2,R39=3),D39&lt;&gt;"",D39&lt;&gt;"-"),VLOOKUP(D39,エントリー!$A$6:$J$85,10,TRUE),$X$10)</f>
        <v>-</v>
      </c>
      <c r="AH39" s="99" t="str">
        <f>IF(F39&lt;&gt;"",F39,IF(Y39&lt;&gt;"",Y39,""))</f>
        <v/>
      </c>
      <c r="AJ39" s="99" t="str">
        <f t="shared" si="22"/>
        <v/>
      </c>
      <c r="AK39" s="99" t="str">
        <f t="shared" si="23"/>
        <v/>
      </c>
      <c r="AL39" s="99" t="str">
        <f>IF(F39&lt;&gt;"",IFERROR(VLOOKUP(AH39,選手登録!$L$7:$O$56,4,FALSE),""),"")</f>
        <v/>
      </c>
      <c r="AM39" s="99" t="str">
        <f>IF(K39&lt;&gt;"",IFERROR(VLOOKUP(K39,馬匹登録!$B$8:$G$54,6,FALSE),""),"")</f>
        <v/>
      </c>
      <c r="AN39" s="99" t="str">
        <f>IFERROR(VLOOKUP(L39,リスト!$H$2:$I$5,2,FALSE),"")</f>
        <v/>
      </c>
      <c r="AO39" s="99" t="str">
        <f t="shared" si="24"/>
        <v/>
      </c>
      <c r="AP39" s="99" t="str">
        <f t="shared" si="25"/>
        <v/>
      </c>
      <c r="AQ39" s="99" t="str">
        <f t="shared" si="26"/>
        <v/>
      </c>
      <c r="AR39" s="99" t="str">
        <f t="shared" si="27"/>
        <v/>
      </c>
      <c r="AS39" s="99" t="str">
        <f t="shared" si="28"/>
        <v/>
      </c>
      <c r="AT39" s="99" t="str">
        <f t="shared" si="29"/>
        <v/>
      </c>
      <c r="AU39" s="99" t="str">
        <f t="shared" si="30"/>
        <v/>
      </c>
      <c r="AV39" s="99" t="str">
        <f t="shared" si="31"/>
        <v/>
      </c>
      <c r="AW39" s="99" t="str">
        <f t="shared" si="10"/>
        <v/>
      </c>
      <c r="AX39" s="99"/>
      <c r="AZ39" s="99">
        <f t="shared" si="19"/>
        <v>0</v>
      </c>
      <c r="BA39" s="99" t="str">
        <f t="shared" si="12"/>
        <v/>
      </c>
      <c r="BB39" s="99">
        <f t="shared" si="13"/>
        <v>13</v>
      </c>
      <c r="BC39" s="99" t="str">
        <f t="shared" si="14"/>
        <v/>
      </c>
      <c r="BD39" s="99" t="str">
        <f t="shared" si="15"/>
        <v/>
      </c>
      <c r="BF39" s="99">
        <f t="shared" si="20"/>
        <v>0</v>
      </c>
      <c r="BG39" s="99" t="str">
        <f t="shared" si="21"/>
        <v/>
      </c>
      <c r="BH39" s="99">
        <f t="shared" si="16"/>
        <v>13</v>
      </c>
      <c r="BI39" s="99" t="str">
        <f t="shared" si="17"/>
        <v/>
      </c>
      <c r="BJ39" s="99" t="str">
        <f t="shared" si="18"/>
        <v/>
      </c>
    </row>
    <row r="40" spans="1:62" ht="22.5" customHeight="1" x14ac:dyDescent="0.4">
      <c r="A40" s="381"/>
      <c r="B40" s="383"/>
      <c r="C40" s="238" t="str">
        <f>IF(OR(R39=2),"変更後","")</f>
        <v/>
      </c>
      <c r="D40" s="142"/>
      <c r="E40" s="241"/>
      <c r="F40" s="241"/>
      <c r="G40" s="241"/>
      <c r="H40" s="241"/>
      <c r="I40" s="241"/>
      <c r="J40" s="241"/>
      <c r="K40" s="241"/>
      <c r="L40" s="244"/>
      <c r="M40" s="226" t="str">
        <f>IF(AND(V40&lt;&gt;"",L40&lt;&gt;"",R39=2),IFERROR(VLOOKUP(V40,競技一覧!$T$5:$Z$50,3+VLOOKUP(L40,リスト!$H$2:$I$5,2,FALSE),FALSE),""),"")</f>
        <v/>
      </c>
      <c r="N40" s="307"/>
      <c r="O40" s="12" t="s">
        <v>11</v>
      </c>
      <c r="P40" s="234"/>
      <c r="R40" s="99" t="str">
        <f>R39</f>
        <v/>
      </c>
      <c r="S40" s="99" t="str">
        <f>$Y$10</f>
        <v>W10</v>
      </c>
      <c r="T40" s="99" t="str">
        <f>IF(R39=2,$Y$7,$Y$10)</f>
        <v>W10</v>
      </c>
      <c r="U40" s="99"/>
      <c r="V40" s="99" t="str">
        <f>IF(AND(E40&lt;&gt;"",E40&lt;&gt;"-"),VLOOKUP(E40,競技一覧!$P$5:$T$50,5,FALSE),"")</f>
        <v/>
      </c>
      <c r="W40" s="99" t="str">
        <f>IF(OR(R40=2),$Y$8,$Y$10)</f>
        <v>W10</v>
      </c>
      <c r="X40" s="99"/>
      <c r="Y40" s="99"/>
      <c r="Z40" s="99" t="str">
        <f>IF(R40=2,$AB$9,IF(R40=4,$AE$7,$Y$10))</f>
        <v>W10</v>
      </c>
      <c r="AA40" s="99" t="str">
        <f>IF(AND(F40&lt;&gt;"",F40&lt;&gt;"-",R40=2),VLOOKUP(F40,選手登録!$L$7:$M$31,2,FALSE),"-")</f>
        <v>-</v>
      </c>
      <c r="AB40" s="99" t="str">
        <f ca="1">IF(OR(R40=2),CELL("address",AC40),IF(OR(R40=4,R40=5),"",$Y$10))</f>
        <v>W10</v>
      </c>
      <c r="AC40" s="99" t="str">
        <f>IF(AND(F40&lt;&gt;"",F40&lt;&gt;"-",R40=2),VLOOKUP(F40,選手登録!$L$7:$N$31,3,FALSE),"-")</f>
        <v>-</v>
      </c>
      <c r="AD40" s="99" t="str">
        <f>IF(OR(R40=2),$Y$9,IF(R40=5,"",$Y$10))</f>
        <v>W10</v>
      </c>
      <c r="AE40" s="99" t="str">
        <f>IF(AND(D40&lt;&gt;"",D40&lt;&gt;"-",OR(R40=2,R40=3)),VLOOKUP(D40,エントリー!$A$6:$K$85,8,TRUE),$Y$10)</f>
        <v>W10</v>
      </c>
      <c r="AF40" s="99" t="str">
        <f>IF(R40=2,VLOOKUP(V40,競技一覧!$T$5:$AA$50,8,TRUE),$Y$10)</f>
        <v>W10</v>
      </c>
      <c r="AG40" s="99"/>
      <c r="AH40" s="99"/>
      <c r="AJ40" s="99" t="str">
        <f t="shared" si="22"/>
        <v/>
      </c>
      <c r="AK40" s="99" t="str">
        <f t="shared" si="23"/>
        <v/>
      </c>
      <c r="AL40" s="99" t="str">
        <f>IF(F40&lt;&gt;"",IFERROR(VLOOKUP(AH40,選手登録!$L$7:$O$56,4,FALSE),""),"")</f>
        <v/>
      </c>
      <c r="AM40" s="99" t="str">
        <f>IF(K40&lt;&gt;"",IFERROR(VLOOKUP(K40,馬匹登録!$B$8:$G$54,6,FALSE),""),"")</f>
        <v/>
      </c>
      <c r="AN40" s="99" t="str">
        <f>IFERROR(VLOOKUP(L40,リスト!$H$2:$I$5,2,FALSE),"")</f>
        <v/>
      </c>
      <c r="AO40" s="99" t="str">
        <f t="shared" si="24"/>
        <v/>
      </c>
      <c r="AP40" s="99" t="str">
        <f t="shared" si="25"/>
        <v/>
      </c>
      <c r="AQ40" s="99" t="str">
        <f t="shared" si="26"/>
        <v/>
      </c>
      <c r="AR40" s="99" t="str">
        <f t="shared" si="27"/>
        <v/>
      </c>
      <c r="AS40" s="99" t="str">
        <f t="shared" si="28"/>
        <v/>
      </c>
      <c r="AT40" s="99" t="str">
        <f t="shared" si="29"/>
        <v/>
      </c>
      <c r="AU40" s="99">
        <f t="shared" si="30"/>
        <v>0</v>
      </c>
      <c r="AV40" s="99" t="str">
        <f t="shared" si="31"/>
        <v>-</v>
      </c>
      <c r="AW40" s="99" t="str">
        <f t="shared" si="10"/>
        <v/>
      </c>
      <c r="AX40" s="99"/>
      <c r="AZ40" s="99">
        <f t="shared" si="19"/>
        <v>0</v>
      </c>
      <c r="BA40" s="99" t="str">
        <f t="shared" si="12"/>
        <v/>
      </c>
      <c r="BB40" s="99">
        <f t="shared" si="13"/>
        <v>0</v>
      </c>
      <c r="BC40" s="99" t="str">
        <f t="shared" si="14"/>
        <v/>
      </c>
      <c r="BD40" s="99" t="str">
        <f t="shared" si="15"/>
        <v/>
      </c>
      <c r="BF40" s="99">
        <f t="shared" si="20"/>
        <v>0</v>
      </c>
      <c r="BG40" s="99"/>
      <c r="BH40" s="99">
        <f t="shared" si="16"/>
        <v>0</v>
      </c>
      <c r="BI40" s="99" t="str">
        <f t="shared" si="17"/>
        <v/>
      </c>
      <c r="BJ40" s="99" t="str">
        <f t="shared" si="18"/>
        <v/>
      </c>
    </row>
    <row r="41" spans="1:62" ht="22.5" customHeight="1" x14ac:dyDescent="0.4">
      <c r="A41" s="380">
        <v>14</v>
      </c>
      <c r="B41" s="382"/>
      <c r="C41" s="237" t="str">
        <f>IF(OR(R41=2),"変更前","")</f>
        <v/>
      </c>
      <c r="D41" s="141"/>
      <c r="E41" s="240"/>
      <c r="F41" s="240"/>
      <c r="G41" s="240"/>
      <c r="H41" s="240"/>
      <c r="I41" s="240"/>
      <c r="J41" s="240"/>
      <c r="K41" s="240"/>
      <c r="L41" s="243"/>
      <c r="M41" s="227" t="str">
        <f>IF(AND(V41&lt;&gt;"",L41&lt;&gt;"",OR(R41=1,R41=2,R41=3)),IFERROR(VLOOKUP(V41,競技一覧!$T$5:$Z$50,3+VLOOKUP(L41,リスト!$H$2:$I$5,2,FALSE),FALSE) * IF(R41=1,1,-1),""),IF(R41=5,設定!$B$13,IF(R41=6,-1*設定!$B$13,"")))</f>
        <v/>
      </c>
      <c r="N41" s="377" t="str">
        <f>IF($B41&lt;&gt;"",IFERROR(VALUE(M42),0)+IFERROR(VALUE(M41),0),"")</f>
        <v/>
      </c>
      <c r="O41" s="9" t="str">
        <f>IF(OR($R41=1,$R41=2,$R41=3),設定!$B$14,IF($B41&lt;&gt;"",0,""))</f>
        <v/>
      </c>
      <c r="P41" s="233"/>
      <c r="R41" s="99" t="str">
        <f>IF(B41&lt;&gt;"",VLOOKUP(B41,リスト!$N$2:$O$9,2,FALSE),"")</f>
        <v/>
      </c>
      <c r="S41" s="99" t="str">
        <f>IF(OR(R41=2,R41=3),$AB$7,$Y$10)</f>
        <v>W10</v>
      </c>
      <c r="T41" s="99" t="str">
        <f ca="1">IF(OR(R41=2,R41=3),CELL("address",U41),IF(R41=1,$Y$7,$Y$10))</f>
        <v>W10</v>
      </c>
      <c r="U41" s="99" t="str">
        <f>IF(AND(OR(R41=2, R41=3),D41&lt;&gt;"",D41&lt;&gt;"-"),VLOOKUP(D41,エントリー!$A$6:$K$85,6,TRUE),"-")</f>
        <v>-</v>
      </c>
      <c r="V41" s="99" t="str">
        <f>IF(AND(E41&lt;&gt;"",E41&lt;&gt;"-"),VLOOKUP(E41,競技一覧!$P$5:$T$50,5,FALSE),"")</f>
        <v/>
      </c>
      <c r="W41" s="99" t="str">
        <f ca="1">IF(OR(R41=2,R41=3),CELL("address",X41),IF(OR(R41=4),CELL("address",Y41),IF(R41=1,$Y$8,$Y$10)))</f>
        <v>W10</v>
      </c>
      <c r="X41" s="99" t="str">
        <f>IF(AND(D41&lt;&gt;"",D41&lt;&gt;"-"),VLOOKUP(D41,エントリー!$A$6:$K$85,7,TRUE),"-")</f>
        <v>-</v>
      </c>
      <c r="Y41" s="99" t="str">
        <f>IF(R41=4,G41 &amp; " " &amp; H41,"")</f>
        <v/>
      </c>
      <c r="Z41" s="99" t="str">
        <f ca="1">IF(R41=4,$AB$9,IF(OR(R41=1,R41=2,R41=3),CELL("address",AA41),$Y$10))</f>
        <v>W10</v>
      </c>
      <c r="AA41" s="99" t="str">
        <f>IF(AND(F41&lt;&gt;"",F41&lt;&gt;"-",OR(R41=1,R41=2,R41=3)),VLOOKUP(F41,選手登録!$L$7:$M$31,2,FALSE),"-")</f>
        <v>-</v>
      </c>
      <c r="AB41" s="99" t="str">
        <f ca="1">IF(OR(R41=1,R41=2,R41=3),CELL("address",AC41),IF(OR(R41=4),$AB$10,$Y$10))</f>
        <v>W10</v>
      </c>
      <c r="AC41" s="99" t="str">
        <f>IF(AND(F41&lt;&gt;"",F41&lt;&gt;"-",OR(R41=1,R41=2,R41=3)),VLOOKUP(F41,選手登録!$L$7:$N$31,3,FALSE),"-")</f>
        <v>-</v>
      </c>
      <c r="AD41" s="99" t="str">
        <f ca="1">IF(OR(R41=2,R41=3),CELL("address",AE41),IF(OR(R41=1,R41=6),$Y$9,IF(R41=5,"",$Y$10)))</f>
        <v>W10</v>
      </c>
      <c r="AE41" s="99" t="str">
        <f>IF(AND(D41&lt;&gt;"",D41&lt;&gt;"-",OR(R41=2,R41=3)),VLOOKUP(D41,エントリー!$A$6:$K$85,8,TRUE),$Y$10)</f>
        <v>W10</v>
      </c>
      <c r="AF41" s="99" t="str">
        <f ca="1">IF(OR(R41=2,R41=3),CELL("address",AG41),IF(R41=1,VLOOKUP(V41,競技一覧!$T$5:$AA$50,8,TRUE),$Y$10))</f>
        <v>W10</v>
      </c>
      <c r="AG41" s="99" t="str">
        <f>IF(AND(OR(R41=2,R41=3),D41&lt;&gt;"",D41&lt;&gt;"-"),VLOOKUP(D41,エントリー!$A$6:$J$85,10,TRUE),$X$10)</f>
        <v>-</v>
      </c>
      <c r="AH41" s="99" t="str">
        <f>IF(F41&lt;&gt;"",F41,IF(Y41&lt;&gt;"",Y41,""))</f>
        <v/>
      </c>
      <c r="AJ41" s="99" t="str">
        <f t="shared" si="22"/>
        <v/>
      </c>
      <c r="AK41" s="99" t="str">
        <f t="shared" si="23"/>
        <v/>
      </c>
      <c r="AL41" s="99" t="str">
        <f>IF(F41&lt;&gt;"",IFERROR(VLOOKUP(AH41,選手登録!$L$7:$O$56,4,FALSE),""),"")</f>
        <v/>
      </c>
      <c r="AM41" s="99" t="str">
        <f>IF(K41&lt;&gt;"",IFERROR(VLOOKUP(K41,馬匹登録!$B$8:$G$54,6,FALSE),""),"")</f>
        <v/>
      </c>
      <c r="AN41" s="99" t="str">
        <f>IFERROR(VLOOKUP(L41,リスト!$H$2:$I$5,2,FALSE),"")</f>
        <v/>
      </c>
      <c r="AO41" s="99" t="str">
        <f t="shared" si="24"/>
        <v/>
      </c>
      <c r="AP41" s="99" t="str">
        <f t="shared" si="25"/>
        <v/>
      </c>
      <c r="AQ41" s="99" t="str">
        <f t="shared" si="26"/>
        <v/>
      </c>
      <c r="AR41" s="99" t="str">
        <f t="shared" si="27"/>
        <v/>
      </c>
      <c r="AS41" s="99" t="str">
        <f t="shared" si="28"/>
        <v/>
      </c>
      <c r="AT41" s="99" t="str">
        <f t="shared" si="29"/>
        <v/>
      </c>
      <c r="AU41" s="99" t="str">
        <f t="shared" si="30"/>
        <v/>
      </c>
      <c r="AV41" s="99" t="str">
        <f t="shared" si="31"/>
        <v/>
      </c>
      <c r="AW41" s="99" t="str">
        <f t="shared" si="10"/>
        <v/>
      </c>
      <c r="AX41" s="99"/>
      <c r="AZ41" s="99">
        <f t="shared" si="19"/>
        <v>0</v>
      </c>
      <c r="BA41" s="99" t="str">
        <f t="shared" si="12"/>
        <v/>
      </c>
      <c r="BB41" s="99">
        <f t="shared" si="13"/>
        <v>14</v>
      </c>
      <c r="BC41" s="99" t="str">
        <f t="shared" si="14"/>
        <v/>
      </c>
      <c r="BD41" s="99" t="str">
        <f t="shared" si="15"/>
        <v/>
      </c>
      <c r="BF41" s="99">
        <f t="shared" si="20"/>
        <v>0</v>
      </c>
      <c r="BG41" s="99" t="str">
        <f t="shared" si="21"/>
        <v/>
      </c>
      <c r="BH41" s="99">
        <f t="shared" si="16"/>
        <v>14</v>
      </c>
      <c r="BI41" s="99" t="str">
        <f t="shared" si="17"/>
        <v/>
      </c>
      <c r="BJ41" s="99" t="str">
        <f t="shared" si="18"/>
        <v/>
      </c>
    </row>
    <row r="42" spans="1:62" ht="22.5" customHeight="1" x14ac:dyDescent="0.4">
      <c r="A42" s="381"/>
      <c r="B42" s="383"/>
      <c r="C42" s="238" t="str">
        <f>IF(OR(R41=2),"変更後","")</f>
        <v/>
      </c>
      <c r="D42" s="142"/>
      <c r="E42" s="241"/>
      <c r="F42" s="241"/>
      <c r="G42" s="241"/>
      <c r="H42" s="241"/>
      <c r="I42" s="241"/>
      <c r="J42" s="241"/>
      <c r="K42" s="241"/>
      <c r="L42" s="244"/>
      <c r="M42" s="226" t="str">
        <f>IF(AND(V42&lt;&gt;"",L42&lt;&gt;"",R41=2),IFERROR(VLOOKUP(V42,競技一覧!$T$5:$Z$50,3+VLOOKUP(L42,リスト!$H$2:$I$5,2,FALSE),FALSE),""),"")</f>
        <v/>
      </c>
      <c r="N42" s="307"/>
      <c r="O42" s="12" t="s">
        <v>11</v>
      </c>
      <c r="P42" s="234"/>
      <c r="R42" s="99" t="str">
        <f>R41</f>
        <v/>
      </c>
      <c r="S42" s="99" t="str">
        <f>$Y$10</f>
        <v>W10</v>
      </c>
      <c r="T42" s="99" t="str">
        <f>IF(R41=2,$Y$7,$Y$10)</f>
        <v>W10</v>
      </c>
      <c r="U42" s="99"/>
      <c r="V42" s="99" t="str">
        <f>IF(AND(E42&lt;&gt;"",E42&lt;&gt;"-"),VLOOKUP(E42,競技一覧!$P$5:$T$50,5,FALSE),"")</f>
        <v/>
      </c>
      <c r="W42" s="99" t="str">
        <f>IF(OR(R42=2),$Y$8,$Y$10)</f>
        <v>W10</v>
      </c>
      <c r="X42" s="99"/>
      <c r="Y42" s="99"/>
      <c r="Z42" s="99" t="str">
        <f>IF(R42=2,$AB$9,IF(R42=4,$AE$7,$Y$10))</f>
        <v>W10</v>
      </c>
      <c r="AA42" s="99" t="str">
        <f>IF(AND(F42&lt;&gt;"",F42&lt;&gt;"-",R42=2),VLOOKUP(F42,選手登録!$L$7:$M$31,2,FALSE),"-")</f>
        <v>-</v>
      </c>
      <c r="AB42" s="99" t="str">
        <f ca="1">IF(OR(R42=2),CELL("address",AC42),IF(OR(R42=4,R42=5),"",$Y$10))</f>
        <v>W10</v>
      </c>
      <c r="AC42" s="99" t="str">
        <f>IF(AND(F42&lt;&gt;"",F42&lt;&gt;"-",R42=2),VLOOKUP(F42,選手登録!$L$7:$N$31,3,FALSE),"-")</f>
        <v>-</v>
      </c>
      <c r="AD42" s="99" t="str">
        <f>IF(OR(R42=2),$Y$9,IF(R42=5,"",$Y$10))</f>
        <v>W10</v>
      </c>
      <c r="AE42" s="99" t="str">
        <f>IF(AND(D42&lt;&gt;"",D42&lt;&gt;"-",OR(R42=2,R42=3)),VLOOKUP(D42,エントリー!$A$6:$K$85,8,TRUE),$Y$10)</f>
        <v>W10</v>
      </c>
      <c r="AF42" s="99" t="str">
        <f>IF(R42=2,VLOOKUP(V42,競技一覧!$T$5:$AA$50,8,TRUE),$Y$10)</f>
        <v>W10</v>
      </c>
      <c r="AG42" s="99"/>
      <c r="AH42" s="99"/>
      <c r="AJ42" s="99" t="str">
        <f t="shared" si="22"/>
        <v/>
      </c>
      <c r="AK42" s="99" t="str">
        <f t="shared" si="23"/>
        <v/>
      </c>
      <c r="AL42" s="99" t="str">
        <f>IF(F42&lt;&gt;"",IFERROR(VLOOKUP(AH42,選手登録!$L$7:$O$56,4,FALSE),""),"")</f>
        <v/>
      </c>
      <c r="AM42" s="99" t="str">
        <f>IF(K42&lt;&gt;"",IFERROR(VLOOKUP(K42,馬匹登録!$B$8:$G$54,6,FALSE),""),"")</f>
        <v/>
      </c>
      <c r="AN42" s="99" t="str">
        <f>IFERROR(VLOOKUP(L42,リスト!$H$2:$I$5,2,FALSE),"")</f>
        <v/>
      </c>
      <c r="AO42" s="99" t="str">
        <f t="shared" si="24"/>
        <v/>
      </c>
      <c r="AP42" s="99" t="str">
        <f t="shared" si="25"/>
        <v/>
      </c>
      <c r="AQ42" s="99" t="str">
        <f t="shared" si="26"/>
        <v/>
      </c>
      <c r="AR42" s="99" t="str">
        <f t="shared" si="27"/>
        <v/>
      </c>
      <c r="AS42" s="99" t="str">
        <f t="shared" si="28"/>
        <v/>
      </c>
      <c r="AT42" s="99" t="str">
        <f t="shared" si="29"/>
        <v/>
      </c>
      <c r="AU42" s="99">
        <f t="shared" si="30"/>
        <v>0</v>
      </c>
      <c r="AV42" s="99" t="str">
        <f t="shared" si="31"/>
        <v>-</v>
      </c>
      <c r="AW42" s="99" t="str">
        <f t="shared" si="10"/>
        <v/>
      </c>
      <c r="AX42" s="99"/>
      <c r="AZ42" s="99">
        <f t="shared" si="19"/>
        <v>0</v>
      </c>
      <c r="BA42" s="99" t="str">
        <f t="shared" si="12"/>
        <v/>
      </c>
      <c r="BB42" s="99">
        <f t="shared" si="13"/>
        <v>0</v>
      </c>
      <c r="BC42" s="99" t="str">
        <f t="shared" si="14"/>
        <v/>
      </c>
      <c r="BD42" s="99" t="str">
        <f t="shared" si="15"/>
        <v/>
      </c>
      <c r="BF42" s="99">
        <f t="shared" si="20"/>
        <v>0</v>
      </c>
      <c r="BG42" s="99"/>
      <c r="BH42" s="99">
        <f t="shared" si="16"/>
        <v>0</v>
      </c>
      <c r="BI42" s="99" t="str">
        <f t="shared" si="17"/>
        <v/>
      </c>
      <c r="BJ42" s="99" t="str">
        <f t="shared" si="18"/>
        <v/>
      </c>
    </row>
    <row r="43" spans="1:62" ht="22.5" customHeight="1" x14ac:dyDescent="0.4">
      <c r="A43" s="380">
        <v>15</v>
      </c>
      <c r="B43" s="382"/>
      <c r="C43" s="237" t="str">
        <f>IF(OR(R43=2),"変更前","")</f>
        <v/>
      </c>
      <c r="D43" s="141"/>
      <c r="E43" s="240"/>
      <c r="F43" s="240"/>
      <c r="G43" s="240"/>
      <c r="H43" s="240"/>
      <c r="I43" s="240"/>
      <c r="J43" s="240"/>
      <c r="K43" s="240"/>
      <c r="L43" s="243"/>
      <c r="M43" s="227" t="str">
        <f>IF(AND(V43&lt;&gt;"",L43&lt;&gt;"",OR(R43=1,R43=2,R43=3)),IFERROR(VLOOKUP(V43,競技一覧!$T$5:$Z$50,3+VLOOKUP(L43,リスト!$H$2:$I$5,2,FALSE),FALSE) * IF(R43=1,1,-1),""),IF(R43=5,設定!$B$13,IF(R43=6,-1*設定!$B$13,"")))</f>
        <v/>
      </c>
      <c r="N43" s="377" t="str">
        <f>IF($B43&lt;&gt;"",IFERROR(VALUE(M44),0)+IFERROR(VALUE(M43),0),"")</f>
        <v/>
      </c>
      <c r="O43" s="9" t="str">
        <f>IF(OR($R43=1,$R43=2,$R43=3),設定!$B$14,IF($B43&lt;&gt;"",0,""))</f>
        <v/>
      </c>
      <c r="P43" s="233"/>
      <c r="R43" s="99" t="str">
        <f>IF(B43&lt;&gt;"",VLOOKUP(B43,リスト!$N$2:$O$9,2,FALSE),"")</f>
        <v/>
      </c>
      <c r="S43" s="99" t="str">
        <f>IF(OR(R43=2,R43=3),$AB$7,$Y$10)</f>
        <v>W10</v>
      </c>
      <c r="T43" s="99" t="str">
        <f ca="1">IF(OR(R43=2,R43=3),CELL("address",U43),IF(R43=1,$Y$7,$Y$10))</f>
        <v>W10</v>
      </c>
      <c r="U43" s="99" t="str">
        <f>IF(AND(OR(R43=2, R43=3),D43&lt;&gt;"",D43&lt;&gt;"-"),VLOOKUP(D43,エントリー!$A$6:$K$85,6,TRUE),"-")</f>
        <v>-</v>
      </c>
      <c r="V43" s="99" t="str">
        <f>IF(AND(E43&lt;&gt;"",E43&lt;&gt;"-"),VLOOKUP(E43,競技一覧!$P$5:$T$50,5,FALSE),"")</f>
        <v/>
      </c>
      <c r="W43" s="99" t="str">
        <f ca="1">IF(OR(R43=2,R43=3),CELL("address",X43),IF(OR(R43=4),CELL("address",Y43),IF(R43=1,$Y$8,$Y$10)))</f>
        <v>W10</v>
      </c>
      <c r="X43" s="99" t="str">
        <f>IF(AND(D43&lt;&gt;"",D43&lt;&gt;"-"),VLOOKUP(D43,エントリー!$A$6:$K$85,7,TRUE),"-")</f>
        <v>-</v>
      </c>
      <c r="Y43" s="99" t="str">
        <f>IF(R43=4,G43 &amp; " " &amp; H43,"")</f>
        <v/>
      </c>
      <c r="Z43" s="99" t="str">
        <f ca="1">IF(R43=4,$AB$9,IF(OR(R43=1,R43=2,R43=3),CELL("address",AA43),$Y$10))</f>
        <v>W10</v>
      </c>
      <c r="AA43" s="99" t="str">
        <f>IF(AND(F43&lt;&gt;"",F43&lt;&gt;"-",OR(R43=1,R43=2,R43=3)),VLOOKUP(F43,選手登録!$L$7:$M$31,2,FALSE),"-")</f>
        <v>-</v>
      </c>
      <c r="AB43" s="99" t="str">
        <f ca="1">IF(OR(R43=1,R43=2,R43=3),CELL("address",AC43),IF(OR(R43=4),$AB$10,$Y$10))</f>
        <v>W10</v>
      </c>
      <c r="AC43" s="99" t="str">
        <f>IF(AND(F43&lt;&gt;"",F43&lt;&gt;"-",OR(R43=1,R43=2,R43=3)),VLOOKUP(F43,選手登録!$L$7:$N$31,3,FALSE),"-")</f>
        <v>-</v>
      </c>
      <c r="AD43" s="99" t="str">
        <f ca="1">IF(OR(R43=2,R43=3),CELL("address",AE43),IF(OR(R43=1,R43=6),$Y$9,IF(R43=5,"",$Y$10)))</f>
        <v>W10</v>
      </c>
      <c r="AE43" s="99" t="str">
        <f>IF(AND(D43&lt;&gt;"",D43&lt;&gt;"-",OR(R43=2,R43=3)),VLOOKUP(D43,エントリー!$A$6:$K$85,8,TRUE),$Y$10)</f>
        <v>W10</v>
      </c>
      <c r="AF43" s="99" t="str">
        <f ca="1">IF(OR(R43=2,R43=3),CELL("address",AG43),IF(R43=1,VLOOKUP(V43,競技一覧!$T$5:$AA$50,8,TRUE),$Y$10))</f>
        <v>W10</v>
      </c>
      <c r="AG43" s="99" t="str">
        <f>IF(AND(OR(R43=2,R43=3),D43&lt;&gt;"",D43&lt;&gt;"-"),VLOOKUP(D43,エントリー!$A$6:$J$85,10,TRUE),$X$10)</f>
        <v>-</v>
      </c>
      <c r="AH43" s="99" t="str">
        <f>IF(F43&lt;&gt;"",F43,IF(Y43&lt;&gt;"",Y43,""))</f>
        <v/>
      </c>
      <c r="AJ43" s="99" t="str">
        <f t="shared" si="22"/>
        <v/>
      </c>
      <c r="AK43" s="99" t="str">
        <f t="shared" si="23"/>
        <v/>
      </c>
      <c r="AL43" s="99" t="str">
        <f>IF(F43&lt;&gt;"",IFERROR(VLOOKUP(AH43,選手登録!$L$7:$O$56,4,FALSE),""),"")</f>
        <v/>
      </c>
      <c r="AM43" s="99" t="str">
        <f>IF(K43&lt;&gt;"",IFERROR(VLOOKUP(K43,馬匹登録!$B$8:$G$54,6,FALSE),""),"")</f>
        <v/>
      </c>
      <c r="AN43" s="99" t="str">
        <f>IFERROR(VLOOKUP(L43,リスト!$H$2:$I$5,2,FALSE),"")</f>
        <v/>
      </c>
      <c r="AO43" s="99" t="str">
        <f t="shared" si="24"/>
        <v/>
      </c>
      <c r="AP43" s="99" t="str">
        <f t="shared" si="25"/>
        <v/>
      </c>
      <c r="AQ43" s="99" t="str">
        <f t="shared" si="26"/>
        <v/>
      </c>
      <c r="AR43" s="99" t="str">
        <f t="shared" si="27"/>
        <v/>
      </c>
      <c r="AS43" s="99" t="str">
        <f t="shared" si="28"/>
        <v/>
      </c>
      <c r="AT43" s="99" t="str">
        <f t="shared" si="29"/>
        <v/>
      </c>
      <c r="AU43" s="99" t="str">
        <f t="shared" si="30"/>
        <v/>
      </c>
      <c r="AV43" s="99" t="str">
        <f t="shared" si="31"/>
        <v/>
      </c>
      <c r="AW43" s="99" t="str">
        <f t="shared" si="10"/>
        <v/>
      </c>
      <c r="AX43" s="99"/>
      <c r="AZ43" s="99">
        <f t="shared" si="19"/>
        <v>0</v>
      </c>
      <c r="BA43" s="99" t="str">
        <f t="shared" si="12"/>
        <v/>
      </c>
      <c r="BB43" s="99">
        <f t="shared" si="13"/>
        <v>15</v>
      </c>
      <c r="BC43" s="99" t="str">
        <f t="shared" si="14"/>
        <v/>
      </c>
      <c r="BD43" s="99" t="str">
        <f t="shared" si="15"/>
        <v/>
      </c>
      <c r="BF43" s="99">
        <f t="shared" si="20"/>
        <v>0</v>
      </c>
      <c r="BG43" s="99" t="str">
        <f t="shared" si="21"/>
        <v/>
      </c>
      <c r="BH43" s="99">
        <f t="shared" si="16"/>
        <v>15</v>
      </c>
      <c r="BI43" s="99" t="str">
        <f t="shared" si="17"/>
        <v/>
      </c>
      <c r="BJ43" s="99" t="str">
        <f t="shared" si="18"/>
        <v/>
      </c>
    </row>
    <row r="44" spans="1:62" ht="22.5" customHeight="1" x14ac:dyDescent="0.4">
      <c r="A44" s="381"/>
      <c r="B44" s="383"/>
      <c r="C44" s="238" t="str">
        <f>IF(OR(R43=2),"変更後","")</f>
        <v/>
      </c>
      <c r="D44" s="142"/>
      <c r="E44" s="241"/>
      <c r="F44" s="241"/>
      <c r="G44" s="241"/>
      <c r="H44" s="241"/>
      <c r="I44" s="241"/>
      <c r="J44" s="241"/>
      <c r="K44" s="241"/>
      <c r="L44" s="244"/>
      <c r="M44" s="226" t="str">
        <f>IF(AND(V44&lt;&gt;"",L44&lt;&gt;"",R43=2),IFERROR(VLOOKUP(V44,競技一覧!$T$5:$Z$50,3+VLOOKUP(L44,リスト!$H$2:$I$5,2,FALSE),FALSE),""),"")</f>
        <v/>
      </c>
      <c r="N44" s="307"/>
      <c r="O44" s="12" t="s">
        <v>11</v>
      </c>
      <c r="P44" s="234"/>
      <c r="R44" s="99" t="str">
        <f>R43</f>
        <v/>
      </c>
      <c r="S44" s="99" t="str">
        <f>$Y$10</f>
        <v>W10</v>
      </c>
      <c r="T44" s="99" t="str">
        <f>IF(R43=2,$Y$7,$Y$10)</f>
        <v>W10</v>
      </c>
      <c r="U44" s="99"/>
      <c r="V44" s="99" t="str">
        <f>IF(AND(E44&lt;&gt;"",E44&lt;&gt;"-"),VLOOKUP(E44,競技一覧!$P$5:$T$50,5,FALSE),"")</f>
        <v/>
      </c>
      <c r="W44" s="99" t="str">
        <f>IF(OR(R44=2),$Y$8,$Y$10)</f>
        <v>W10</v>
      </c>
      <c r="X44" s="99"/>
      <c r="Y44" s="99"/>
      <c r="Z44" s="99" t="str">
        <f>IF(R44=2,$AB$9,IF(R44=4,$AE$7,$Y$10))</f>
        <v>W10</v>
      </c>
      <c r="AA44" s="99" t="str">
        <f>IF(AND(F44&lt;&gt;"",F44&lt;&gt;"-",R44=2),VLOOKUP(F44,選手登録!$L$7:$M$31,2,FALSE),"-")</f>
        <v>-</v>
      </c>
      <c r="AB44" s="99" t="str">
        <f ca="1">IF(OR(R44=2),CELL("address",AC44),IF(OR(R44=4,R44=5),"",$Y$10))</f>
        <v>W10</v>
      </c>
      <c r="AC44" s="99" t="str">
        <f>IF(AND(F44&lt;&gt;"",F44&lt;&gt;"-",R44=2),VLOOKUP(F44,選手登録!$L$7:$N$31,3,FALSE),"-")</f>
        <v>-</v>
      </c>
      <c r="AD44" s="99" t="str">
        <f>IF(OR(R44=2),$Y$9,IF(R44=5,"",$Y$10))</f>
        <v>W10</v>
      </c>
      <c r="AE44" s="99" t="str">
        <f>IF(AND(D44&lt;&gt;"",D44&lt;&gt;"-",OR(R44=2,R44=3)),VLOOKUP(D44,エントリー!$A$6:$K$85,8,TRUE),$Y$10)</f>
        <v>W10</v>
      </c>
      <c r="AF44" s="99" t="str">
        <f>IF(R44=2,VLOOKUP(V44,競技一覧!$T$5:$AA$50,8,TRUE),$Y$10)</f>
        <v>W10</v>
      </c>
      <c r="AG44" s="99"/>
      <c r="AH44" s="99"/>
      <c r="AJ44" s="99" t="str">
        <f t="shared" si="22"/>
        <v/>
      </c>
      <c r="AK44" s="99" t="str">
        <f t="shared" si="23"/>
        <v/>
      </c>
      <c r="AL44" s="99" t="str">
        <f>IF(F44&lt;&gt;"",IFERROR(VLOOKUP(AH44,選手登録!$L$7:$O$56,4,FALSE),""),"")</f>
        <v/>
      </c>
      <c r="AM44" s="99" t="str">
        <f>IF(K44&lt;&gt;"",IFERROR(VLOOKUP(K44,馬匹登録!$B$8:$G$54,6,FALSE),""),"")</f>
        <v/>
      </c>
      <c r="AN44" s="99" t="str">
        <f>IFERROR(VLOOKUP(L44,リスト!$H$2:$I$5,2,FALSE),"")</f>
        <v/>
      </c>
      <c r="AO44" s="99" t="str">
        <f t="shared" si="24"/>
        <v/>
      </c>
      <c r="AP44" s="99" t="str">
        <f t="shared" si="25"/>
        <v/>
      </c>
      <c r="AQ44" s="99" t="str">
        <f t="shared" si="26"/>
        <v/>
      </c>
      <c r="AR44" s="99" t="str">
        <f t="shared" si="27"/>
        <v/>
      </c>
      <c r="AS44" s="99" t="str">
        <f t="shared" si="28"/>
        <v/>
      </c>
      <c r="AT44" s="99" t="str">
        <f t="shared" si="29"/>
        <v/>
      </c>
      <c r="AU44" s="99">
        <f t="shared" si="30"/>
        <v>0</v>
      </c>
      <c r="AV44" s="99" t="str">
        <f t="shared" si="31"/>
        <v>-</v>
      </c>
      <c r="AW44" s="99" t="str">
        <f t="shared" si="10"/>
        <v/>
      </c>
      <c r="AX44" s="99"/>
      <c r="AZ44" s="99">
        <f t="shared" si="19"/>
        <v>0</v>
      </c>
      <c r="BA44" s="99" t="str">
        <f t="shared" si="12"/>
        <v/>
      </c>
      <c r="BB44" s="99">
        <f t="shared" si="13"/>
        <v>0</v>
      </c>
      <c r="BC44" s="99" t="str">
        <f t="shared" si="14"/>
        <v/>
      </c>
      <c r="BD44" s="99" t="str">
        <f t="shared" si="15"/>
        <v/>
      </c>
      <c r="BF44" s="99">
        <f t="shared" si="20"/>
        <v>0</v>
      </c>
      <c r="BG44" s="99"/>
      <c r="BH44" s="99">
        <f t="shared" si="16"/>
        <v>0</v>
      </c>
      <c r="BI44" s="99" t="str">
        <f t="shared" si="17"/>
        <v/>
      </c>
      <c r="BJ44" s="99" t="str">
        <f t="shared" si="18"/>
        <v/>
      </c>
    </row>
    <row r="45" spans="1:62" ht="22.5" customHeight="1" x14ac:dyDescent="0.4">
      <c r="A45" s="380">
        <v>16</v>
      </c>
      <c r="B45" s="382"/>
      <c r="C45" s="237" t="str">
        <f>IF(OR(R45=2),"変更前","")</f>
        <v/>
      </c>
      <c r="D45" s="141"/>
      <c r="E45" s="240"/>
      <c r="F45" s="240"/>
      <c r="G45" s="240"/>
      <c r="H45" s="240"/>
      <c r="I45" s="240"/>
      <c r="J45" s="240"/>
      <c r="K45" s="240"/>
      <c r="L45" s="243"/>
      <c r="M45" s="227" t="str">
        <f>IF(AND(V45&lt;&gt;"",L45&lt;&gt;"",OR(R45=1,R45=2,R45=3)),IFERROR(VLOOKUP(V45,競技一覧!$T$5:$Z$50,3+VLOOKUP(L45,リスト!$H$2:$I$5,2,FALSE),FALSE) * IF(R45=1,1,-1),""),IF(R45=5,設定!$B$13,IF(R45=6,-1*設定!$B$13,"")))</f>
        <v/>
      </c>
      <c r="N45" s="377" t="str">
        <f>IF($B45&lt;&gt;"",IFERROR(VALUE(M46),0)+IFERROR(VALUE(M45),0),"")</f>
        <v/>
      </c>
      <c r="O45" s="9" t="str">
        <f>IF(OR($R45=1,$R45=2,$R45=3),設定!$B$14,IF($B45&lt;&gt;"",0,""))</f>
        <v/>
      </c>
      <c r="P45" s="233"/>
      <c r="R45" s="99" t="str">
        <f>IF(B45&lt;&gt;"",VLOOKUP(B45,リスト!$N$2:$O$9,2,FALSE),"")</f>
        <v/>
      </c>
      <c r="S45" s="99" t="str">
        <f>IF(OR(R45=2,R45=3),$AB$7,$Y$10)</f>
        <v>W10</v>
      </c>
      <c r="T45" s="99" t="str">
        <f ca="1">IF(OR(R45=2,R45=3),CELL("address",U45),IF(R45=1,$Y$7,$Y$10))</f>
        <v>W10</v>
      </c>
      <c r="U45" s="99" t="str">
        <f>IF(AND(OR(R45=2, R45=3),D45&lt;&gt;"",D45&lt;&gt;"-"),VLOOKUP(D45,エントリー!$A$6:$K$85,6,TRUE),"-")</f>
        <v>-</v>
      </c>
      <c r="V45" s="99" t="str">
        <f>IF(AND(E45&lt;&gt;"",E45&lt;&gt;"-"),VLOOKUP(E45,競技一覧!$P$5:$T$50,5,FALSE),"")</f>
        <v/>
      </c>
      <c r="W45" s="99" t="str">
        <f ca="1">IF(OR(R45=2,R45=3),CELL("address",X45),IF(OR(R45=4),CELL("address",Y45),IF(R45=1,$Y$8,$Y$10)))</f>
        <v>W10</v>
      </c>
      <c r="X45" s="99" t="str">
        <f>IF(AND(D45&lt;&gt;"",D45&lt;&gt;"-"),VLOOKUP(D45,エントリー!$A$6:$K$85,7,TRUE),"-")</f>
        <v>-</v>
      </c>
      <c r="Y45" s="99" t="str">
        <f>IF(R45=4,G45 &amp; " " &amp; H45,"")</f>
        <v/>
      </c>
      <c r="Z45" s="99" t="str">
        <f ca="1">IF(R45=4,$AB$9,IF(OR(R45=1,R45=2,R45=3),CELL("address",AA45),$Y$10))</f>
        <v>W10</v>
      </c>
      <c r="AA45" s="99" t="str">
        <f>IF(AND(F45&lt;&gt;"",F45&lt;&gt;"-",OR(R45=1,R45=2,R45=3)),VLOOKUP(F45,選手登録!$L$7:$M$31,2,FALSE),"-")</f>
        <v>-</v>
      </c>
      <c r="AB45" s="99" t="str">
        <f ca="1">IF(OR(R45=1,R45=2,R45=3),CELL("address",AC45),IF(OR(R45=4),$AB$10,$Y$10))</f>
        <v>W10</v>
      </c>
      <c r="AC45" s="99" t="str">
        <f>IF(AND(F45&lt;&gt;"",F45&lt;&gt;"-",OR(R45=1,R45=2,R45=3)),VLOOKUP(F45,選手登録!$L$7:$N$31,3,FALSE),"-")</f>
        <v>-</v>
      </c>
      <c r="AD45" s="99" t="str">
        <f ca="1">IF(OR(R45=2,R45=3),CELL("address",AE45),IF(OR(R45=1,R45=6),$Y$9,IF(R45=5,"",$Y$10)))</f>
        <v>W10</v>
      </c>
      <c r="AE45" s="99" t="str">
        <f>IF(AND(D45&lt;&gt;"",D45&lt;&gt;"-",OR(R45=2,R45=3)),VLOOKUP(D45,エントリー!$A$6:$K$85,8,TRUE),$Y$10)</f>
        <v>W10</v>
      </c>
      <c r="AF45" s="99" t="str">
        <f ca="1">IF(OR(R45=2,R45=3),CELL("address",AG45),IF(R45=1,VLOOKUP(V45,競技一覧!$T$5:$AA$50,8,TRUE),$Y$10))</f>
        <v>W10</v>
      </c>
      <c r="AG45" s="99" t="str">
        <f>IF(AND(OR(R45=2,R45=3),D45&lt;&gt;"",D45&lt;&gt;"-"),VLOOKUP(D45,エントリー!$A$6:$J$85,10,TRUE),$X$10)</f>
        <v>-</v>
      </c>
      <c r="AH45" s="99" t="str">
        <f>IF(F45&lt;&gt;"",F45,IF(Y45&lt;&gt;"",Y45,""))</f>
        <v/>
      </c>
      <c r="AJ45" s="99" t="str">
        <f t="shared" si="22"/>
        <v/>
      </c>
      <c r="AK45" s="99" t="str">
        <f t="shared" si="23"/>
        <v/>
      </c>
      <c r="AL45" s="99" t="str">
        <f>IF(F45&lt;&gt;"",IFERROR(VLOOKUP(AH45,選手登録!$L$7:$O$56,4,FALSE),""),"")</f>
        <v/>
      </c>
      <c r="AM45" s="99" t="str">
        <f>IF(K45&lt;&gt;"",IFERROR(VLOOKUP(K45,馬匹登録!$B$8:$G$54,6,FALSE),""),"")</f>
        <v/>
      </c>
      <c r="AN45" s="99" t="str">
        <f>IFERROR(VLOOKUP(L45,リスト!$H$2:$I$5,2,FALSE),"")</f>
        <v/>
      </c>
      <c r="AO45" s="99" t="str">
        <f t="shared" si="24"/>
        <v/>
      </c>
      <c r="AP45" s="99" t="str">
        <f t="shared" si="25"/>
        <v/>
      </c>
      <c r="AQ45" s="99" t="str">
        <f t="shared" si="26"/>
        <v/>
      </c>
      <c r="AR45" s="99" t="str">
        <f t="shared" si="27"/>
        <v/>
      </c>
      <c r="AS45" s="99" t="str">
        <f t="shared" si="28"/>
        <v/>
      </c>
      <c r="AT45" s="99" t="str">
        <f t="shared" si="29"/>
        <v/>
      </c>
      <c r="AU45" s="99" t="str">
        <f t="shared" si="30"/>
        <v/>
      </c>
      <c r="AV45" s="99" t="str">
        <f t="shared" si="31"/>
        <v/>
      </c>
      <c r="AW45" s="99" t="str">
        <f t="shared" si="10"/>
        <v/>
      </c>
      <c r="AX45" s="99"/>
      <c r="AZ45" s="99">
        <f t="shared" si="19"/>
        <v>0</v>
      </c>
      <c r="BA45" s="99" t="str">
        <f t="shared" si="12"/>
        <v/>
      </c>
      <c r="BB45" s="99">
        <f t="shared" si="13"/>
        <v>16</v>
      </c>
      <c r="BC45" s="99" t="str">
        <f t="shared" si="14"/>
        <v/>
      </c>
      <c r="BD45" s="99" t="str">
        <f t="shared" si="15"/>
        <v/>
      </c>
      <c r="BF45" s="99">
        <f t="shared" si="20"/>
        <v>0</v>
      </c>
      <c r="BG45" s="99" t="str">
        <f t="shared" si="21"/>
        <v/>
      </c>
      <c r="BH45" s="99">
        <f t="shared" si="16"/>
        <v>16</v>
      </c>
      <c r="BI45" s="99" t="str">
        <f t="shared" si="17"/>
        <v/>
      </c>
      <c r="BJ45" s="99" t="str">
        <f t="shared" si="18"/>
        <v/>
      </c>
    </row>
    <row r="46" spans="1:62" ht="22.5" customHeight="1" x14ac:dyDescent="0.4">
      <c r="A46" s="381"/>
      <c r="B46" s="383"/>
      <c r="C46" s="238" t="str">
        <f>IF(OR(R45=2),"変更後","")</f>
        <v/>
      </c>
      <c r="D46" s="142"/>
      <c r="E46" s="241"/>
      <c r="F46" s="241"/>
      <c r="G46" s="241"/>
      <c r="H46" s="241"/>
      <c r="I46" s="241"/>
      <c r="J46" s="241"/>
      <c r="K46" s="241"/>
      <c r="L46" s="244"/>
      <c r="M46" s="226" t="str">
        <f>IF(AND(V46&lt;&gt;"",L46&lt;&gt;"",R45=2),IFERROR(VLOOKUP(V46,競技一覧!$T$5:$Z$50,3+VLOOKUP(L46,リスト!$H$2:$I$5,2,FALSE),FALSE),""),"")</f>
        <v/>
      </c>
      <c r="N46" s="307"/>
      <c r="O46" s="12" t="s">
        <v>11</v>
      </c>
      <c r="P46" s="234"/>
      <c r="R46" s="99" t="str">
        <f>R45</f>
        <v/>
      </c>
      <c r="S46" s="99" t="str">
        <f>$Y$10</f>
        <v>W10</v>
      </c>
      <c r="T46" s="99" t="str">
        <f>IF(R45=2,$Y$7,$Y$10)</f>
        <v>W10</v>
      </c>
      <c r="U46" s="99"/>
      <c r="V46" s="99" t="str">
        <f>IF(AND(E46&lt;&gt;"",E46&lt;&gt;"-"),VLOOKUP(E46,競技一覧!$P$5:$T$50,5,FALSE),"")</f>
        <v/>
      </c>
      <c r="W46" s="99" t="str">
        <f>IF(OR(R46=2),$Y$8,$Y$10)</f>
        <v>W10</v>
      </c>
      <c r="X46" s="99"/>
      <c r="Y46" s="99"/>
      <c r="Z46" s="99" t="str">
        <f>IF(R46=2,$AB$9,IF(R46=4,$AE$7,$Y$10))</f>
        <v>W10</v>
      </c>
      <c r="AA46" s="99" t="str">
        <f>IF(AND(F46&lt;&gt;"",F46&lt;&gt;"-",R46=2),VLOOKUP(F46,選手登録!$L$7:$M$31,2,FALSE),"-")</f>
        <v>-</v>
      </c>
      <c r="AB46" s="99" t="str">
        <f ca="1">IF(OR(R46=2),CELL("address",AC46),IF(OR(R46=4,R46=5),"",$Y$10))</f>
        <v>W10</v>
      </c>
      <c r="AC46" s="99" t="str">
        <f>IF(AND(F46&lt;&gt;"",F46&lt;&gt;"-",R46=2),VLOOKUP(F46,選手登録!$L$7:$N$31,3,FALSE),"-")</f>
        <v>-</v>
      </c>
      <c r="AD46" s="99" t="str">
        <f>IF(OR(R46=2),$Y$9,IF(R46=5,"",$Y$10))</f>
        <v>W10</v>
      </c>
      <c r="AE46" s="99" t="str">
        <f>IF(AND(D46&lt;&gt;"",D46&lt;&gt;"-",OR(R46=2,R46=3)),VLOOKUP(D46,エントリー!$A$6:$K$85,8,TRUE),$Y$10)</f>
        <v>W10</v>
      </c>
      <c r="AF46" s="99" t="str">
        <f>IF(R46=2,VLOOKUP(V46,競技一覧!$T$5:$AA$50,8,TRUE),$Y$10)</f>
        <v>W10</v>
      </c>
      <c r="AG46" s="99"/>
      <c r="AH46" s="99"/>
      <c r="AJ46" s="99" t="str">
        <f t="shared" si="22"/>
        <v/>
      </c>
      <c r="AK46" s="99" t="str">
        <f t="shared" si="23"/>
        <v/>
      </c>
      <c r="AL46" s="99" t="str">
        <f>IF(F46&lt;&gt;"",IFERROR(VLOOKUP(AH46,選手登録!$L$7:$O$56,4,FALSE),""),"")</f>
        <v/>
      </c>
      <c r="AM46" s="99" t="str">
        <f>IF(K46&lt;&gt;"",IFERROR(VLOOKUP(K46,馬匹登録!$B$8:$G$54,6,FALSE),""),"")</f>
        <v/>
      </c>
      <c r="AN46" s="99" t="str">
        <f>IFERROR(VLOOKUP(L46,リスト!$H$2:$I$5,2,FALSE),"")</f>
        <v/>
      </c>
      <c r="AO46" s="99" t="str">
        <f t="shared" si="24"/>
        <v/>
      </c>
      <c r="AP46" s="99" t="str">
        <f t="shared" si="25"/>
        <v/>
      </c>
      <c r="AQ46" s="99" t="str">
        <f t="shared" si="26"/>
        <v/>
      </c>
      <c r="AR46" s="99" t="str">
        <f t="shared" si="27"/>
        <v/>
      </c>
      <c r="AS46" s="99" t="str">
        <f t="shared" si="28"/>
        <v/>
      </c>
      <c r="AT46" s="99" t="str">
        <f t="shared" si="29"/>
        <v/>
      </c>
      <c r="AU46" s="99">
        <f t="shared" si="30"/>
        <v>0</v>
      </c>
      <c r="AV46" s="99" t="str">
        <f t="shared" si="31"/>
        <v>-</v>
      </c>
      <c r="AW46" s="99" t="str">
        <f t="shared" si="10"/>
        <v/>
      </c>
      <c r="AX46" s="99"/>
      <c r="AZ46" s="99">
        <f t="shared" si="19"/>
        <v>0</v>
      </c>
      <c r="BA46" s="99" t="str">
        <f t="shared" si="12"/>
        <v/>
      </c>
      <c r="BB46" s="99">
        <f t="shared" si="13"/>
        <v>0</v>
      </c>
      <c r="BC46" s="99" t="str">
        <f t="shared" si="14"/>
        <v/>
      </c>
      <c r="BD46" s="99" t="str">
        <f t="shared" si="15"/>
        <v/>
      </c>
      <c r="BF46" s="99">
        <f t="shared" si="20"/>
        <v>0</v>
      </c>
      <c r="BG46" s="99"/>
      <c r="BH46" s="99">
        <f t="shared" si="16"/>
        <v>0</v>
      </c>
      <c r="BI46" s="99" t="str">
        <f t="shared" si="17"/>
        <v/>
      </c>
      <c r="BJ46" s="99" t="str">
        <f t="shared" si="18"/>
        <v/>
      </c>
    </row>
    <row r="47" spans="1:62" ht="22.5" customHeight="1" x14ac:dyDescent="0.4">
      <c r="A47" s="380">
        <v>17</v>
      </c>
      <c r="B47" s="382"/>
      <c r="C47" s="237" t="str">
        <f>IF(OR(R47=2),"変更前","")</f>
        <v/>
      </c>
      <c r="D47" s="141"/>
      <c r="E47" s="240"/>
      <c r="F47" s="240"/>
      <c r="G47" s="240"/>
      <c r="H47" s="240"/>
      <c r="I47" s="240"/>
      <c r="J47" s="240"/>
      <c r="K47" s="240"/>
      <c r="L47" s="243"/>
      <c r="M47" s="227" t="str">
        <f>IF(AND(V47&lt;&gt;"",L47&lt;&gt;"",OR(R47=1,R47=2,R47=3)),IFERROR(VLOOKUP(V47,競技一覧!$T$5:$Z$50,3+VLOOKUP(L47,リスト!$H$2:$I$5,2,FALSE),FALSE) * IF(R47=1,1,-1),""),IF(R47=5,設定!$B$13,IF(R47=6,-1*設定!$B$13,"")))</f>
        <v/>
      </c>
      <c r="N47" s="377" t="str">
        <f>IF($B47&lt;&gt;"",IFERROR(VALUE(M48),0)+IFERROR(VALUE(M47),0),"")</f>
        <v/>
      </c>
      <c r="O47" s="9" t="str">
        <f>IF(OR($R47=1,$R47=2,$R47=3),設定!$B$14,IF($B47&lt;&gt;"",0,""))</f>
        <v/>
      </c>
      <c r="P47" s="233"/>
      <c r="R47" s="99" t="str">
        <f>IF(B47&lt;&gt;"",VLOOKUP(B47,リスト!$N$2:$O$9,2,FALSE),"")</f>
        <v/>
      </c>
      <c r="S47" s="99" t="str">
        <f>IF(OR(R47=2,R47=3),$AB$7,$Y$10)</f>
        <v>W10</v>
      </c>
      <c r="T47" s="99" t="str">
        <f ca="1">IF(OR(R47=2,R47=3),CELL("address",U47),IF(R47=1,$Y$7,$Y$10))</f>
        <v>W10</v>
      </c>
      <c r="U47" s="99" t="str">
        <f>IF(AND(OR(R47=2, R47=3),D47&lt;&gt;"",D47&lt;&gt;"-"),VLOOKUP(D47,エントリー!$A$6:$K$85,6,TRUE),"-")</f>
        <v>-</v>
      </c>
      <c r="V47" s="99" t="str">
        <f>IF(AND(E47&lt;&gt;"",E47&lt;&gt;"-"),VLOOKUP(E47,競技一覧!$P$5:$T$50,5,FALSE),"")</f>
        <v/>
      </c>
      <c r="W47" s="99" t="str">
        <f ca="1">IF(OR(R47=2,R47=3),CELL("address",X47),IF(OR(R47=4),CELL("address",Y47),IF(R47=1,$Y$8,$Y$10)))</f>
        <v>W10</v>
      </c>
      <c r="X47" s="99" t="str">
        <f>IF(AND(D47&lt;&gt;"",D47&lt;&gt;"-"),VLOOKUP(D47,エントリー!$A$6:$K$85,7,TRUE),"-")</f>
        <v>-</v>
      </c>
      <c r="Y47" s="99" t="str">
        <f>IF(R47=4,G47 &amp; " " &amp; H47,"")</f>
        <v/>
      </c>
      <c r="Z47" s="99" t="str">
        <f ca="1">IF(R47=4,$AB$9,IF(OR(R47=1,R47=2,R47=3),CELL("address",AA47),$Y$10))</f>
        <v>W10</v>
      </c>
      <c r="AA47" s="99" t="str">
        <f>IF(AND(F47&lt;&gt;"",F47&lt;&gt;"-",OR(R47=1,R47=2,R47=3)),VLOOKUP(F47,選手登録!$L$7:$M$31,2,FALSE),"-")</f>
        <v>-</v>
      </c>
      <c r="AB47" s="99" t="str">
        <f ca="1">IF(OR(R47=1,R47=2,R47=3),CELL("address",AC47),IF(OR(R47=4),$AB$10,$Y$10))</f>
        <v>W10</v>
      </c>
      <c r="AC47" s="99" t="str">
        <f>IF(AND(F47&lt;&gt;"",F47&lt;&gt;"-",OR(R47=1,R47=2,R47=3)),VLOOKUP(F47,選手登録!$L$7:$N$31,3,FALSE),"-")</f>
        <v>-</v>
      </c>
      <c r="AD47" s="99" t="str">
        <f ca="1">IF(OR(R47=2,R47=3),CELL("address",AE47),IF(OR(R47=1,R47=6),$Y$9,IF(R47=5,"",$Y$10)))</f>
        <v>W10</v>
      </c>
      <c r="AE47" s="99" t="str">
        <f>IF(AND(D47&lt;&gt;"",D47&lt;&gt;"-",OR(R47=2,R47=3)),VLOOKUP(D47,エントリー!$A$6:$K$85,8,TRUE),$Y$10)</f>
        <v>W10</v>
      </c>
      <c r="AF47" s="99" t="str">
        <f ca="1">IF(OR(R47=2,R47=3),CELL("address",AG47),IF(R47=1,VLOOKUP(V47,競技一覧!$T$5:$AA$50,8,TRUE),$Y$10))</f>
        <v>W10</v>
      </c>
      <c r="AG47" s="99" t="str">
        <f>IF(AND(OR(R47=2,R47=3),D47&lt;&gt;"",D47&lt;&gt;"-"),VLOOKUP(D47,エントリー!$A$6:$J$85,10,TRUE),$X$10)</f>
        <v>-</v>
      </c>
      <c r="AH47" s="99" t="str">
        <f>IF(F47&lt;&gt;"",F47,IF(Y47&lt;&gt;"",Y47,""))</f>
        <v/>
      </c>
      <c r="AJ47" s="99" t="str">
        <f t="shared" si="22"/>
        <v/>
      </c>
      <c r="AK47" s="99" t="str">
        <f t="shared" si="23"/>
        <v/>
      </c>
      <c r="AL47" s="99" t="str">
        <f>IF(F47&lt;&gt;"",IFERROR(VLOOKUP(AH47,選手登録!$L$7:$O$56,4,FALSE),""),"")</f>
        <v/>
      </c>
      <c r="AM47" s="99" t="str">
        <f>IF(K47&lt;&gt;"",IFERROR(VLOOKUP(K47,馬匹登録!$B$8:$G$54,6,FALSE),""),"")</f>
        <v/>
      </c>
      <c r="AN47" s="99" t="str">
        <f>IFERROR(VLOOKUP(L47,リスト!$H$2:$I$5,2,FALSE),"")</f>
        <v/>
      </c>
      <c r="AO47" s="99" t="str">
        <f t="shared" si="24"/>
        <v/>
      </c>
      <c r="AP47" s="99" t="str">
        <f t="shared" si="25"/>
        <v/>
      </c>
      <c r="AQ47" s="99" t="str">
        <f t="shared" si="26"/>
        <v/>
      </c>
      <c r="AR47" s="99" t="str">
        <f t="shared" si="27"/>
        <v/>
      </c>
      <c r="AS47" s="99" t="str">
        <f t="shared" si="28"/>
        <v/>
      </c>
      <c r="AT47" s="99" t="str">
        <f t="shared" si="29"/>
        <v/>
      </c>
      <c r="AU47" s="99" t="str">
        <f t="shared" si="30"/>
        <v/>
      </c>
      <c r="AV47" s="99" t="str">
        <f t="shared" si="31"/>
        <v/>
      </c>
      <c r="AW47" s="99" t="str">
        <f t="shared" si="10"/>
        <v/>
      </c>
      <c r="AX47" s="99"/>
      <c r="AZ47" s="99">
        <f t="shared" si="19"/>
        <v>0</v>
      </c>
      <c r="BA47" s="99" t="str">
        <f t="shared" si="12"/>
        <v/>
      </c>
      <c r="BB47" s="99">
        <f t="shared" si="13"/>
        <v>17</v>
      </c>
      <c r="BC47" s="99" t="str">
        <f t="shared" si="14"/>
        <v/>
      </c>
      <c r="BD47" s="99" t="str">
        <f t="shared" si="15"/>
        <v/>
      </c>
      <c r="BF47" s="99">
        <f t="shared" si="20"/>
        <v>0</v>
      </c>
      <c r="BG47" s="99" t="str">
        <f t="shared" si="21"/>
        <v/>
      </c>
      <c r="BH47" s="99">
        <f t="shared" si="16"/>
        <v>17</v>
      </c>
      <c r="BI47" s="99" t="str">
        <f t="shared" si="17"/>
        <v/>
      </c>
      <c r="BJ47" s="99" t="str">
        <f t="shared" si="18"/>
        <v/>
      </c>
    </row>
    <row r="48" spans="1:62" ht="22.5" customHeight="1" x14ac:dyDescent="0.4">
      <c r="A48" s="381"/>
      <c r="B48" s="383"/>
      <c r="C48" s="238" t="str">
        <f>IF(OR(R47=2),"変更後","")</f>
        <v/>
      </c>
      <c r="D48" s="142"/>
      <c r="E48" s="241"/>
      <c r="F48" s="241"/>
      <c r="G48" s="241"/>
      <c r="H48" s="241"/>
      <c r="I48" s="241"/>
      <c r="J48" s="241"/>
      <c r="K48" s="241"/>
      <c r="L48" s="244"/>
      <c r="M48" s="226" t="str">
        <f>IF(AND(V48&lt;&gt;"",L48&lt;&gt;"",R47=2),IFERROR(VLOOKUP(V48,競技一覧!$T$5:$Z$50,3+VLOOKUP(L48,リスト!$H$2:$I$5,2,FALSE),FALSE),""),"")</f>
        <v/>
      </c>
      <c r="N48" s="307"/>
      <c r="O48" s="12" t="s">
        <v>11</v>
      </c>
      <c r="P48" s="234"/>
      <c r="R48" s="99" t="str">
        <f>R47</f>
        <v/>
      </c>
      <c r="S48" s="99" t="str">
        <f>$Y$10</f>
        <v>W10</v>
      </c>
      <c r="T48" s="99" t="str">
        <f>IF(R47=2,$Y$7,$Y$10)</f>
        <v>W10</v>
      </c>
      <c r="U48" s="99"/>
      <c r="V48" s="99" t="str">
        <f>IF(AND(E48&lt;&gt;"",E48&lt;&gt;"-"),VLOOKUP(E48,競技一覧!$P$5:$T$50,5,FALSE),"")</f>
        <v/>
      </c>
      <c r="W48" s="99" t="str">
        <f>IF(OR(R48=2),$Y$8,$Y$10)</f>
        <v>W10</v>
      </c>
      <c r="X48" s="99"/>
      <c r="Y48" s="99"/>
      <c r="Z48" s="99" t="str">
        <f>IF(R48=2,$AB$9,IF(R48=4,$AE$7,$Y$10))</f>
        <v>W10</v>
      </c>
      <c r="AA48" s="99" t="str">
        <f>IF(AND(F48&lt;&gt;"",F48&lt;&gt;"-",R48=2),VLOOKUP(F48,選手登録!$L$7:$M$31,2,FALSE),"-")</f>
        <v>-</v>
      </c>
      <c r="AB48" s="99" t="str">
        <f ca="1">IF(OR(R48=2),CELL("address",AC48),IF(OR(R48=4,R48=5),"",$Y$10))</f>
        <v>W10</v>
      </c>
      <c r="AC48" s="99" t="str">
        <f>IF(AND(F48&lt;&gt;"",F48&lt;&gt;"-",R48=2),VLOOKUP(F48,選手登録!$L$7:$N$31,3,FALSE),"-")</f>
        <v>-</v>
      </c>
      <c r="AD48" s="99" t="str">
        <f>IF(OR(R48=2),$Y$9,IF(R48=5,"",$Y$10))</f>
        <v>W10</v>
      </c>
      <c r="AE48" s="99" t="str">
        <f>IF(AND(D48&lt;&gt;"",D48&lt;&gt;"-",OR(R48=2,R48=3)),VLOOKUP(D48,エントリー!$A$6:$K$85,8,TRUE),$Y$10)</f>
        <v>W10</v>
      </c>
      <c r="AF48" s="99" t="str">
        <f>IF(R48=2,VLOOKUP(V48,競技一覧!$T$5:$AA$50,8,TRUE),$Y$10)</f>
        <v>W10</v>
      </c>
      <c r="AG48" s="99"/>
      <c r="AH48" s="99"/>
      <c r="AJ48" s="99" t="str">
        <f t="shared" si="22"/>
        <v/>
      </c>
      <c r="AK48" s="99" t="str">
        <f t="shared" si="23"/>
        <v/>
      </c>
      <c r="AL48" s="99" t="str">
        <f>IF(F48&lt;&gt;"",IFERROR(VLOOKUP(AH48,選手登録!$L$7:$O$56,4,FALSE),""),"")</f>
        <v/>
      </c>
      <c r="AM48" s="99" t="str">
        <f>IF(K48&lt;&gt;"",IFERROR(VLOOKUP(K48,馬匹登録!$B$8:$G$54,6,FALSE),""),"")</f>
        <v/>
      </c>
      <c r="AN48" s="99" t="str">
        <f>IFERROR(VLOOKUP(L48,リスト!$H$2:$I$5,2,FALSE),"")</f>
        <v/>
      </c>
      <c r="AO48" s="99" t="str">
        <f t="shared" si="24"/>
        <v/>
      </c>
      <c r="AP48" s="99" t="str">
        <f t="shared" si="25"/>
        <v/>
      </c>
      <c r="AQ48" s="99" t="str">
        <f t="shared" si="26"/>
        <v/>
      </c>
      <c r="AR48" s="99" t="str">
        <f t="shared" si="27"/>
        <v/>
      </c>
      <c r="AS48" s="99" t="str">
        <f t="shared" si="28"/>
        <v/>
      </c>
      <c r="AT48" s="99" t="str">
        <f t="shared" si="29"/>
        <v/>
      </c>
      <c r="AU48" s="99">
        <f t="shared" si="30"/>
        <v>0</v>
      </c>
      <c r="AV48" s="99" t="str">
        <f t="shared" si="31"/>
        <v>-</v>
      </c>
      <c r="AW48" s="99" t="str">
        <f t="shared" si="10"/>
        <v/>
      </c>
      <c r="AX48" s="99"/>
      <c r="AZ48" s="99">
        <f t="shared" si="19"/>
        <v>0</v>
      </c>
      <c r="BA48" s="99" t="str">
        <f t="shared" si="12"/>
        <v/>
      </c>
      <c r="BB48" s="99">
        <f t="shared" si="13"/>
        <v>0</v>
      </c>
      <c r="BC48" s="99" t="str">
        <f t="shared" si="14"/>
        <v/>
      </c>
      <c r="BD48" s="99" t="str">
        <f t="shared" si="15"/>
        <v/>
      </c>
      <c r="BF48" s="99">
        <f t="shared" si="20"/>
        <v>0</v>
      </c>
      <c r="BG48" s="99"/>
      <c r="BH48" s="99">
        <f t="shared" si="16"/>
        <v>0</v>
      </c>
      <c r="BI48" s="99" t="str">
        <f t="shared" si="17"/>
        <v/>
      </c>
      <c r="BJ48" s="99" t="str">
        <f t="shared" si="18"/>
        <v/>
      </c>
    </row>
    <row r="49" spans="1:62" ht="22.5" customHeight="1" x14ac:dyDescent="0.4">
      <c r="A49" s="380">
        <v>18</v>
      </c>
      <c r="B49" s="382"/>
      <c r="C49" s="237" t="str">
        <f>IF(OR(R49=2),"変更前","")</f>
        <v/>
      </c>
      <c r="D49" s="141"/>
      <c r="E49" s="240"/>
      <c r="F49" s="240"/>
      <c r="G49" s="240"/>
      <c r="H49" s="240"/>
      <c r="I49" s="240"/>
      <c r="J49" s="240"/>
      <c r="K49" s="240"/>
      <c r="L49" s="243"/>
      <c r="M49" s="227" t="str">
        <f>IF(AND(V49&lt;&gt;"",L49&lt;&gt;"",OR(R49=1,R49=2,R49=3)),IFERROR(VLOOKUP(V49,競技一覧!$T$5:$Z$50,3+VLOOKUP(L49,リスト!$H$2:$I$5,2,FALSE),FALSE) * IF(R49=1,1,-1),""),IF(R49=5,設定!$B$13,IF(R49=6,-1*設定!$B$13,"")))</f>
        <v/>
      </c>
      <c r="N49" s="377" t="str">
        <f>IF($B49&lt;&gt;"",IFERROR(VALUE(M50),0)+IFERROR(VALUE(M49),0),"")</f>
        <v/>
      </c>
      <c r="O49" s="9" t="str">
        <f>IF(OR($R49=1,$R49=2,$R49=3),設定!$B$14,IF($B49&lt;&gt;"",0,""))</f>
        <v/>
      </c>
      <c r="P49" s="233"/>
      <c r="R49" s="99" t="str">
        <f>IF(B49&lt;&gt;"",VLOOKUP(B49,リスト!$N$2:$O$9,2,FALSE),"")</f>
        <v/>
      </c>
      <c r="S49" s="99" t="str">
        <f>IF(OR(R49=2,R49=3),$AB$7,$Y$10)</f>
        <v>W10</v>
      </c>
      <c r="T49" s="99" t="str">
        <f ca="1">IF(OR(R49=2,R49=3),CELL("address",U49),IF(R49=1,$Y$7,$Y$10))</f>
        <v>W10</v>
      </c>
      <c r="U49" s="99" t="str">
        <f>IF(AND(OR(R49=2, R49=3),D49&lt;&gt;"",D49&lt;&gt;"-"),VLOOKUP(D49,エントリー!$A$6:$K$85,6,TRUE),"-")</f>
        <v>-</v>
      </c>
      <c r="V49" s="99" t="str">
        <f>IF(AND(E49&lt;&gt;"",E49&lt;&gt;"-"),VLOOKUP(E49,競技一覧!$P$5:$T$50,5,FALSE),"")</f>
        <v/>
      </c>
      <c r="W49" s="99" t="str">
        <f ca="1">IF(OR(R49=2,R49=3),CELL("address",X49),IF(OR(R49=4),CELL("address",Y49),IF(R49=1,$Y$8,$Y$10)))</f>
        <v>W10</v>
      </c>
      <c r="X49" s="99" t="str">
        <f>IF(AND(D49&lt;&gt;"",D49&lt;&gt;"-"),VLOOKUP(D49,エントリー!$A$6:$K$85,7,TRUE),"-")</f>
        <v>-</v>
      </c>
      <c r="Y49" s="99" t="str">
        <f>IF(R49=4,G49 &amp; " " &amp; H49,"")</f>
        <v/>
      </c>
      <c r="Z49" s="99" t="str">
        <f ca="1">IF(R49=4,$AB$9,IF(OR(R49=1,R49=2,R49=3),CELL("address",AA49),$Y$10))</f>
        <v>W10</v>
      </c>
      <c r="AA49" s="99" t="str">
        <f>IF(AND(F49&lt;&gt;"",F49&lt;&gt;"-",OR(R49=1,R49=2,R49=3)),VLOOKUP(F49,選手登録!$L$7:$M$31,2,FALSE),"-")</f>
        <v>-</v>
      </c>
      <c r="AB49" s="99" t="str">
        <f ca="1">IF(OR(R49=1,R49=2,R49=3),CELL("address",AC49),IF(OR(R49=4),$AB$10,$Y$10))</f>
        <v>W10</v>
      </c>
      <c r="AC49" s="99" t="str">
        <f>IF(AND(F49&lt;&gt;"",F49&lt;&gt;"-",OR(R49=1,R49=2,R49=3)),VLOOKUP(F49,選手登録!$L$7:$N$31,3,FALSE),"-")</f>
        <v>-</v>
      </c>
      <c r="AD49" s="99" t="str">
        <f ca="1">IF(OR(R49=2,R49=3),CELL("address",AE49),IF(OR(R49=1,R49=6),$Y$9,IF(R49=5,"",$Y$10)))</f>
        <v>W10</v>
      </c>
      <c r="AE49" s="99" t="str">
        <f>IF(AND(D49&lt;&gt;"",D49&lt;&gt;"-",OR(R49=2,R49=3)),VLOOKUP(D49,エントリー!$A$6:$K$85,8,TRUE),$Y$10)</f>
        <v>W10</v>
      </c>
      <c r="AF49" s="99" t="str">
        <f ca="1">IF(OR(R49=2,R49=3),CELL("address",AG49),IF(R49=1,VLOOKUP(V49,競技一覧!$T$5:$AA$50,8,TRUE),$Y$10))</f>
        <v>W10</v>
      </c>
      <c r="AG49" s="99" t="str">
        <f>IF(AND(OR(R49=2,R49=3),D49&lt;&gt;"",D49&lt;&gt;"-"),VLOOKUP(D49,エントリー!$A$6:$J$85,10,TRUE),$X$10)</f>
        <v>-</v>
      </c>
      <c r="AH49" s="99" t="str">
        <f>IF(F49&lt;&gt;"",F49,IF(Y49&lt;&gt;"",Y49,""))</f>
        <v/>
      </c>
      <c r="AJ49" s="99" t="str">
        <f t="shared" si="22"/>
        <v/>
      </c>
      <c r="AK49" s="99" t="str">
        <f t="shared" si="23"/>
        <v/>
      </c>
      <c r="AL49" s="99" t="str">
        <f>IF(F49&lt;&gt;"",IFERROR(VLOOKUP(AH49,選手登録!$L$7:$O$56,4,FALSE),""),"")</f>
        <v/>
      </c>
      <c r="AM49" s="99" t="str">
        <f>IF(K49&lt;&gt;"",IFERROR(VLOOKUP(K49,馬匹登録!$B$8:$G$54,6,FALSE),""),"")</f>
        <v/>
      </c>
      <c r="AN49" s="99" t="str">
        <f>IFERROR(VLOOKUP(L49,リスト!$H$2:$I$5,2,FALSE),"")</f>
        <v/>
      </c>
      <c r="AO49" s="99" t="str">
        <f t="shared" si="24"/>
        <v/>
      </c>
      <c r="AP49" s="99" t="str">
        <f t="shared" si="25"/>
        <v/>
      </c>
      <c r="AQ49" s="99" t="str">
        <f t="shared" si="26"/>
        <v/>
      </c>
      <c r="AR49" s="99" t="str">
        <f t="shared" si="27"/>
        <v/>
      </c>
      <c r="AS49" s="99" t="str">
        <f t="shared" si="28"/>
        <v/>
      </c>
      <c r="AT49" s="99" t="str">
        <f t="shared" si="29"/>
        <v/>
      </c>
      <c r="AU49" s="99" t="str">
        <f t="shared" si="30"/>
        <v/>
      </c>
      <c r="AV49" s="99" t="str">
        <f t="shared" si="31"/>
        <v/>
      </c>
      <c r="AW49" s="99" t="str">
        <f t="shared" si="10"/>
        <v/>
      </c>
      <c r="AX49" s="99"/>
      <c r="AZ49" s="99">
        <f t="shared" si="19"/>
        <v>0</v>
      </c>
      <c r="BA49" s="99" t="str">
        <f t="shared" si="12"/>
        <v/>
      </c>
      <c r="BB49" s="99">
        <f t="shared" si="13"/>
        <v>18</v>
      </c>
      <c r="BC49" s="99" t="str">
        <f t="shared" si="14"/>
        <v/>
      </c>
      <c r="BD49" s="99" t="str">
        <f t="shared" si="15"/>
        <v/>
      </c>
      <c r="BF49" s="99">
        <f t="shared" si="20"/>
        <v>0</v>
      </c>
      <c r="BG49" s="99" t="str">
        <f t="shared" si="21"/>
        <v/>
      </c>
      <c r="BH49" s="99">
        <f t="shared" si="16"/>
        <v>18</v>
      </c>
      <c r="BI49" s="99" t="str">
        <f t="shared" si="17"/>
        <v/>
      </c>
      <c r="BJ49" s="99" t="str">
        <f t="shared" si="18"/>
        <v/>
      </c>
    </row>
    <row r="50" spans="1:62" ht="22.5" customHeight="1" x14ac:dyDescent="0.4">
      <c r="A50" s="381"/>
      <c r="B50" s="383"/>
      <c r="C50" s="238" t="str">
        <f>IF(OR(R49=2),"変更後","")</f>
        <v/>
      </c>
      <c r="D50" s="142"/>
      <c r="E50" s="241"/>
      <c r="F50" s="241"/>
      <c r="G50" s="241"/>
      <c r="H50" s="241"/>
      <c r="I50" s="241"/>
      <c r="J50" s="241"/>
      <c r="K50" s="241"/>
      <c r="L50" s="244"/>
      <c r="M50" s="226" t="str">
        <f>IF(AND(V50&lt;&gt;"",L50&lt;&gt;"",R49=2),IFERROR(VLOOKUP(V50,競技一覧!$T$5:$Z$50,3+VLOOKUP(L50,リスト!$H$2:$I$5,2,FALSE),FALSE),""),"")</f>
        <v/>
      </c>
      <c r="N50" s="307"/>
      <c r="O50" s="12" t="s">
        <v>11</v>
      </c>
      <c r="P50" s="234"/>
      <c r="R50" s="99" t="str">
        <f>R49</f>
        <v/>
      </c>
      <c r="S50" s="99" t="str">
        <f>$Y$10</f>
        <v>W10</v>
      </c>
      <c r="T50" s="99" t="str">
        <f>IF(R49=2,$Y$7,$Y$10)</f>
        <v>W10</v>
      </c>
      <c r="U50" s="99"/>
      <c r="V50" s="99" t="str">
        <f>IF(AND(E50&lt;&gt;"",E50&lt;&gt;"-"),VLOOKUP(E50,競技一覧!$P$5:$T$50,5,FALSE),"")</f>
        <v/>
      </c>
      <c r="W50" s="99" t="str">
        <f>IF(OR(R50=2),$Y$8,$Y$10)</f>
        <v>W10</v>
      </c>
      <c r="X50" s="99"/>
      <c r="Y50" s="99"/>
      <c r="Z50" s="99" t="str">
        <f>IF(R50=2,$AB$9,IF(R50=4,$AE$7,$Y$10))</f>
        <v>W10</v>
      </c>
      <c r="AA50" s="99" t="str">
        <f>IF(AND(F50&lt;&gt;"",F50&lt;&gt;"-",R50=2),VLOOKUP(F50,選手登録!$L$7:$M$31,2,FALSE),"-")</f>
        <v>-</v>
      </c>
      <c r="AB50" s="99" t="str">
        <f ca="1">IF(OR(R50=2),CELL("address",AC50),IF(OR(R50=4,R50=5),"",$Y$10))</f>
        <v>W10</v>
      </c>
      <c r="AC50" s="99" t="str">
        <f>IF(AND(F50&lt;&gt;"",F50&lt;&gt;"-",R50=2),VLOOKUP(F50,選手登録!$L$7:$N$31,3,FALSE),"-")</f>
        <v>-</v>
      </c>
      <c r="AD50" s="99" t="str">
        <f>IF(OR(R50=2),$Y$9,IF(R50=5,"",$Y$10))</f>
        <v>W10</v>
      </c>
      <c r="AE50" s="99" t="str">
        <f>IF(AND(D50&lt;&gt;"",D50&lt;&gt;"-",OR(R50=2,R50=3)),VLOOKUP(D50,エントリー!$A$6:$K$85,8,TRUE),$Y$10)</f>
        <v>W10</v>
      </c>
      <c r="AF50" s="99" t="str">
        <f>IF(R50=2,VLOOKUP(V50,競技一覧!$T$5:$AA$50,8,TRUE),$Y$10)</f>
        <v>W10</v>
      </c>
      <c r="AG50" s="99"/>
      <c r="AH50" s="99"/>
      <c r="AJ50" s="99" t="str">
        <f t="shared" si="22"/>
        <v/>
      </c>
      <c r="AK50" s="99" t="str">
        <f t="shared" si="23"/>
        <v/>
      </c>
      <c r="AL50" s="99" t="str">
        <f>IF(F50&lt;&gt;"",IFERROR(VLOOKUP(AH50,選手登録!$L$7:$O$56,4,FALSE),""),"")</f>
        <v/>
      </c>
      <c r="AM50" s="99" t="str">
        <f>IF(K50&lt;&gt;"",IFERROR(VLOOKUP(K50,馬匹登録!$B$8:$G$54,6,FALSE),""),"")</f>
        <v/>
      </c>
      <c r="AN50" s="99" t="str">
        <f>IFERROR(VLOOKUP(L50,リスト!$H$2:$I$5,2,FALSE),"")</f>
        <v/>
      </c>
      <c r="AO50" s="99" t="str">
        <f t="shared" si="24"/>
        <v/>
      </c>
      <c r="AP50" s="99" t="str">
        <f t="shared" si="25"/>
        <v/>
      </c>
      <c r="AQ50" s="99" t="str">
        <f t="shared" si="26"/>
        <v/>
      </c>
      <c r="AR50" s="99" t="str">
        <f t="shared" si="27"/>
        <v/>
      </c>
      <c r="AS50" s="99" t="str">
        <f t="shared" si="28"/>
        <v/>
      </c>
      <c r="AT50" s="99" t="str">
        <f t="shared" si="29"/>
        <v/>
      </c>
      <c r="AU50" s="99">
        <f t="shared" si="30"/>
        <v>0</v>
      </c>
      <c r="AV50" s="99" t="str">
        <f t="shared" si="31"/>
        <v>-</v>
      </c>
      <c r="AW50" s="99" t="str">
        <f t="shared" si="10"/>
        <v/>
      </c>
      <c r="AX50" s="99"/>
      <c r="AZ50" s="99">
        <f t="shared" si="19"/>
        <v>0</v>
      </c>
      <c r="BA50" s="99" t="str">
        <f t="shared" si="12"/>
        <v/>
      </c>
      <c r="BB50" s="99">
        <f t="shared" si="13"/>
        <v>0</v>
      </c>
      <c r="BC50" s="99" t="str">
        <f t="shared" si="14"/>
        <v/>
      </c>
      <c r="BD50" s="99" t="str">
        <f t="shared" si="15"/>
        <v/>
      </c>
      <c r="BF50" s="99">
        <f t="shared" si="20"/>
        <v>0</v>
      </c>
      <c r="BG50" s="99"/>
      <c r="BH50" s="99">
        <f t="shared" si="16"/>
        <v>0</v>
      </c>
      <c r="BI50" s="99" t="str">
        <f t="shared" si="17"/>
        <v/>
      </c>
      <c r="BJ50" s="99" t="str">
        <f t="shared" si="18"/>
        <v/>
      </c>
    </row>
    <row r="51" spans="1:62" ht="22.5" customHeight="1" x14ac:dyDescent="0.4">
      <c r="A51" s="380">
        <v>19</v>
      </c>
      <c r="B51" s="382"/>
      <c r="C51" s="237" t="str">
        <f>IF(OR(R51=2),"変更前","")</f>
        <v/>
      </c>
      <c r="D51" s="141"/>
      <c r="E51" s="240"/>
      <c r="F51" s="240"/>
      <c r="G51" s="240"/>
      <c r="H51" s="240"/>
      <c r="I51" s="240"/>
      <c r="J51" s="240"/>
      <c r="K51" s="240"/>
      <c r="L51" s="243"/>
      <c r="M51" s="227" t="str">
        <f>IF(AND(V51&lt;&gt;"",L51&lt;&gt;"",OR(R51=1,R51=2,R51=3)),IFERROR(VLOOKUP(V51,競技一覧!$T$5:$Z$50,3+VLOOKUP(L51,リスト!$H$2:$I$5,2,FALSE),FALSE) * IF(R51=1,1,-1),""),IF(R51=5,設定!$B$13,IF(R51=6,-1*設定!$B$13,"")))</f>
        <v/>
      </c>
      <c r="N51" s="377" t="str">
        <f>IF($B51&lt;&gt;"",IFERROR(VALUE(M52),0)+IFERROR(VALUE(M51),0),"")</f>
        <v/>
      </c>
      <c r="O51" s="9" t="str">
        <f>IF(OR($R51=1,$R51=2,$R51=3),設定!$B$14,IF($B51&lt;&gt;"",0,""))</f>
        <v/>
      </c>
      <c r="P51" s="233"/>
      <c r="R51" s="99" t="str">
        <f>IF(B51&lt;&gt;"",VLOOKUP(B51,リスト!$N$2:$O$9,2,FALSE),"")</f>
        <v/>
      </c>
      <c r="S51" s="99" t="str">
        <f>IF(OR(R51=2,R51=3),$AB$7,$Y$10)</f>
        <v>W10</v>
      </c>
      <c r="T51" s="99" t="str">
        <f ca="1">IF(OR(R51=2,R51=3),CELL("address",U51),IF(R51=1,$Y$7,$Y$10))</f>
        <v>W10</v>
      </c>
      <c r="U51" s="99" t="str">
        <f>IF(AND(OR(R51=2, R51=3),D51&lt;&gt;"",D51&lt;&gt;"-"),VLOOKUP(D51,エントリー!$A$6:$K$85,6,TRUE),"-")</f>
        <v>-</v>
      </c>
      <c r="V51" s="99" t="str">
        <f>IF(AND(E51&lt;&gt;"",E51&lt;&gt;"-"),VLOOKUP(E51,競技一覧!$P$5:$T$50,5,FALSE),"")</f>
        <v/>
      </c>
      <c r="W51" s="99" t="str">
        <f ca="1">IF(OR(R51=2,R51=3),CELL("address",X51),IF(OR(R51=4),CELL("address",Y51),IF(R51=1,$Y$8,$Y$10)))</f>
        <v>W10</v>
      </c>
      <c r="X51" s="99" t="str">
        <f>IF(AND(D51&lt;&gt;"",D51&lt;&gt;"-"),VLOOKUP(D51,エントリー!$A$6:$K$85,7,TRUE),"-")</f>
        <v>-</v>
      </c>
      <c r="Y51" s="99" t="str">
        <f>IF(R51=4,G51 &amp; " " &amp; H51,"")</f>
        <v/>
      </c>
      <c r="Z51" s="99" t="str">
        <f ca="1">IF(R51=4,$AB$9,IF(OR(R51=1,R51=2,R51=3),CELL("address",AA51),$Y$10))</f>
        <v>W10</v>
      </c>
      <c r="AA51" s="99" t="str">
        <f>IF(AND(F51&lt;&gt;"",F51&lt;&gt;"-",OR(R51=1,R51=2,R51=3)),VLOOKUP(F51,選手登録!$L$7:$M$31,2,FALSE),"-")</f>
        <v>-</v>
      </c>
      <c r="AB51" s="99" t="str">
        <f ca="1">IF(OR(R51=1,R51=2,R51=3),CELL("address",AC51),IF(OR(R51=4),$AB$10,$Y$10))</f>
        <v>W10</v>
      </c>
      <c r="AC51" s="99" t="str">
        <f>IF(AND(F51&lt;&gt;"",F51&lt;&gt;"-",OR(R51=1,R51=2,R51=3)),VLOOKUP(F51,選手登録!$L$7:$N$31,3,FALSE),"-")</f>
        <v>-</v>
      </c>
      <c r="AD51" s="99" t="str">
        <f ca="1">IF(OR(R51=2,R51=3),CELL("address",AE51),IF(OR(R51=1,R51=6),$Y$9,IF(R51=5,"",$Y$10)))</f>
        <v>W10</v>
      </c>
      <c r="AE51" s="99" t="str">
        <f>IF(AND(D51&lt;&gt;"",D51&lt;&gt;"-",OR(R51=2,R51=3)),VLOOKUP(D51,エントリー!$A$6:$K$85,8,TRUE),$Y$10)</f>
        <v>W10</v>
      </c>
      <c r="AF51" s="99" t="str">
        <f ca="1">IF(OR(R51=2,R51=3),CELL("address",AG51),IF(R51=1,VLOOKUP(V51,競技一覧!$T$5:$AA$50,8,TRUE),$Y$10))</f>
        <v>W10</v>
      </c>
      <c r="AG51" s="99" t="str">
        <f>IF(AND(OR(R51=2,R51=3),D51&lt;&gt;"",D51&lt;&gt;"-"),VLOOKUP(D51,エントリー!$A$6:$J$85,10,TRUE),$X$10)</f>
        <v>-</v>
      </c>
      <c r="AH51" s="99" t="str">
        <f>IF(F51&lt;&gt;"",F51,IF(Y51&lt;&gt;"",Y51,""))</f>
        <v/>
      </c>
      <c r="AJ51" s="99" t="str">
        <f t="shared" si="22"/>
        <v/>
      </c>
      <c r="AK51" s="99" t="str">
        <f t="shared" si="23"/>
        <v/>
      </c>
      <c r="AL51" s="99" t="str">
        <f>IF(F51&lt;&gt;"",IFERROR(VLOOKUP(AH51,選手登録!$L$7:$O$56,4,FALSE),""),"")</f>
        <v/>
      </c>
      <c r="AM51" s="99" t="str">
        <f>IF(K51&lt;&gt;"",IFERROR(VLOOKUP(K51,馬匹登録!$B$8:$G$54,6,FALSE),""),"")</f>
        <v/>
      </c>
      <c r="AN51" s="99" t="str">
        <f>IFERROR(VLOOKUP(L51,リスト!$H$2:$I$5,2,FALSE),"")</f>
        <v/>
      </c>
      <c r="AO51" s="99" t="str">
        <f t="shared" si="24"/>
        <v/>
      </c>
      <c r="AP51" s="99" t="str">
        <f t="shared" si="25"/>
        <v/>
      </c>
      <c r="AQ51" s="99" t="str">
        <f t="shared" si="26"/>
        <v/>
      </c>
      <c r="AR51" s="99" t="str">
        <f t="shared" si="27"/>
        <v/>
      </c>
      <c r="AS51" s="99" t="str">
        <f t="shared" si="28"/>
        <v/>
      </c>
      <c r="AT51" s="99" t="str">
        <f t="shared" si="29"/>
        <v/>
      </c>
      <c r="AU51" s="99" t="str">
        <f t="shared" si="30"/>
        <v/>
      </c>
      <c r="AV51" s="99" t="str">
        <f t="shared" si="31"/>
        <v/>
      </c>
      <c r="AW51" s="99" t="str">
        <f t="shared" si="10"/>
        <v/>
      </c>
      <c r="AX51" s="99"/>
      <c r="AZ51" s="99">
        <f t="shared" si="19"/>
        <v>0</v>
      </c>
      <c r="BA51" s="99" t="str">
        <f t="shared" si="12"/>
        <v/>
      </c>
      <c r="BB51" s="99">
        <f t="shared" si="13"/>
        <v>19</v>
      </c>
      <c r="BC51" s="99" t="str">
        <f t="shared" si="14"/>
        <v/>
      </c>
      <c r="BD51" s="99" t="str">
        <f t="shared" si="15"/>
        <v/>
      </c>
      <c r="BF51" s="99">
        <f t="shared" si="20"/>
        <v>0</v>
      </c>
      <c r="BG51" s="99" t="str">
        <f t="shared" si="21"/>
        <v/>
      </c>
      <c r="BH51" s="99">
        <f t="shared" si="16"/>
        <v>19</v>
      </c>
      <c r="BI51" s="99" t="str">
        <f t="shared" si="17"/>
        <v/>
      </c>
      <c r="BJ51" s="99" t="str">
        <f t="shared" si="18"/>
        <v/>
      </c>
    </row>
    <row r="52" spans="1:62" ht="22.5" customHeight="1" x14ac:dyDescent="0.4">
      <c r="A52" s="381"/>
      <c r="B52" s="383"/>
      <c r="C52" s="238" t="str">
        <f>IF(OR(R51=2),"変更後","")</f>
        <v/>
      </c>
      <c r="D52" s="142"/>
      <c r="E52" s="241"/>
      <c r="F52" s="241"/>
      <c r="G52" s="241"/>
      <c r="H52" s="241"/>
      <c r="I52" s="241"/>
      <c r="J52" s="241"/>
      <c r="K52" s="241"/>
      <c r="L52" s="244"/>
      <c r="M52" s="226" t="str">
        <f>IF(AND(V52&lt;&gt;"",L52&lt;&gt;"",R51=2),IFERROR(VLOOKUP(V52,競技一覧!$T$5:$Z$50,3+VLOOKUP(L52,リスト!$H$2:$I$5,2,FALSE),FALSE),""),"")</f>
        <v/>
      </c>
      <c r="N52" s="307"/>
      <c r="O52" s="12" t="s">
        <v>11</v>
      </c>
      <c r="P52" s="234"/>
      <c r="R52" s="99" t="str">
        <f>R51</f>
        <v/>
      </c>
      <c r="S52" s="99" t="str">
        <f>$Y$10</f>
        <v>W10</v>
      </c>
      <c r="T52" s="99" t="str">
        <f>IF(R51=2,$Y$7,$Y$10)</f>
        <v>W10</v>
      </c>
      <c r="U52" s="99"/>
      <c r="V52" s="99" t="str">
        <f>IF(AND(E52&lt;&gt;"",E52&lt;&gt;"-"),VLOOKUP(E52,競技一覧!$P$5:$T$50,5,FALSE),"")</f>
        <v/>
      </c>
      <c r="W52" s="99" t="str">
        <f>IF(OR(R52=2),$Y$8,$Y$10)</f>
        <v>W10</v>
      </c>
      <c r="X52" s="99"/>
      <c r="Y52" s="99"/>
      <c r="Z52" s="99" t="str">
        <f>IF(R52=2,$AB$9,IF(R52=4,$AE$7,$Y$10))</f>
        <v>W10</v>
      </c>
      <c r="AA52" s="99" t="str">
        <f>IF(AND(F52&lt;&gt;"",F52&lt;&gt;"-",R52=2),VLOOKUP(F52,選手登録!$L$7:$M$31,2,FALSE),"-")</f>
        <v>-</v>
      </c>
      <c r="AB52" s="99" t="str">
        <f ca="1">IF(OR(R52=2),CELL("address",AC52),IF(OR(R52=4,R52=5),"",$Y$10))</f>
        <v>W10</v>
      </c>
      <c r="AC52" s="99" t="str">
        <f>IF(AND(F52&lt;&gt;"",F52&lt;&gt;"-",R52=2),VLOOKUP(F52,選手登録!$L$7:$N$31,3,FALSE),"-")</f>
        <v>-</v>
      </c>
      <c r="AD52" s="99" t="str">
        <f>IF(OR(R52=2),$Y$9,IF(R52=5,"",$Y$10))</f>
        <v>W10</v>
      </c>
      <c r="AE52" s="99" t="str">
        <f>IF(AND(D52&lt;&gt;"",D52&lt;&gt;"-",OR(R52=2,R52=3)),VLOOKUP(D52,エントリー!$A$6:$K$85,8,TRUE),$Y$10)</f>
        <v>W10</v>
      </c>
      <c r="AF52" s="99" t="str">
        <f>IF(R52=2,VLOOKUP(V52,競技一覧!$T$5:$AA$50,8,TRUE),$Y$10)</f>
        <v>W10</v>
      </c>
      <c r="AG52" s="99"/>
      <c r="AH52" s="99"/>
      <c r="AJ52" s="99" t="str">
        <f t="shared" si="22"/>
        <v/>
      </c>
      <c r="AK52" s="99" t="str">
        <f t="shared" si="23"/>
        <v/>
      </c>
      <c r="AL52" s="99" t="str">
        <f>IF(F52&lt;&gt;"",IFERROR(VLOOKUP(AH52,選手登録!$L$7:$O$56,4,FALSE),""),"")</f>
        <v/>
      </c>
      <c r="AM52" s="99" t="str">
        <f>IF(K52&lt;&gt;"",IFERROR(VLOOKUP(K52,馬匹登録!$B$8:$G$54,6,FALSE),""),"")</f>
        <v/>
      </c>
      <c r="AN52" s="99" t="str">
        <f>IFERROR(VLOOKUP(L52,リスト!$H$2:$I$5,2,FALSE),"")</f>
        <v/>
      </c>
      <c r="AO52" s="99" t="str">
        <f t="shared" si="24"/>
        <v/>
      </c>
      <c r="AP52" s="99" t="str">
        <f t="shared" si="25"/>
        <v/>
      </c>
      <c r="AQ52" s="99" t="str">
        <f t="shared" si="26"/>
        <v/>
      </c>
      <c r="AR52" s="99" t="str">
        <f t="shared" si="27"/>
        <v/>
      </c>
      <c r="AS52" s="99" t="str">
        <f t="shared" si="28"/>
        <v/>
      </c>
      <c r="AT52" s="99" t="str">
        <f t="shared" si="29"/>
        <v/>
      </c>
      <c r="AU52" s="99">
        <f t="shared" si="30"/>
        <v>0</v>
      </c>
      <c r="AV52" s="99" t="str">
        <f t="shared" si="31"/>
        <v>-</v>
      </c>
      <c r="AW52" s="99" t="str">
        <f t="shared" si="10"/>
        <v/>
      </c>
      <c r="AX52" s="99"/>
      <c r="AZ52" s="99">
        <f t="shared" si="19"/>
        <v>0</v>
      </c>
      <c r="BA52" s="99" t="str">
        <f t="shared" si="12"/>
        <v/>
      </c>
      <c r="BB52" s="99">
        <f t="shared" si="13"/>
        <v>0</v>
      </c>
      <c r="BC52" s="99" t="str">
        <f t="shared" si="14"/>
        <v/>
      </c>
      <c r="BD52" s="99" t="str">
        <f t="shared" si="15"/>
        <v/>
      </c>
      <c r="BF52" s="99">
        <f t="shared" si="20"/>
        <v>0</v>
      </c>
      <c r="BG52" s="99"/>
      <c r="BH52" s="99">
        <f t="shared" si="16"/>
        <v>0</v>
      </c>
      <c r="BI52" s="99" t="str">
        <f t="shared" si="17"/>
        <v/>
      </c>
      <c r="BJ52" s="99" t="str">
        <f t="shared" si="18"/>
        <v/>
      </c>
    </row>
    <row r="53" spans="1:62" ht="22.5" customHeight="1" x14ac:dyDescent="0.4">
      <c r="A53" s="380">
        <v>20</v>
      </c>
      <c r="B53" s="382"/>
      <c r="C53" s="237" t="str">
        <f>IF(OR(R53=2),"変更前","")</f>
        <v/>
      </c>
      <c r="D53" s="141"/>
      <c r="E53" s="240"/>
      <c r="F53" s="240"/>
      <c r="G53" s="240"/>
      <c r="H53" s="240"/>
      <c r="I53" s="240"/>
      <c r="J53" s="240"/>
      <c r="K53" s="240"/>
      <c r="L53" s="243"/>
      <c r="M53" s="227" t="str">
        <f>IF(AND(V53&lt;&gt;"",L53&lt;&gt;"",OR(R53=1,R53=2,R53=3)),IFERROR(VLOOKUP(V53,競技一覧!$T$5:$Z$50,3+VLOOKUP(L53,リスト!$H$2:$I$5,2,FALSE),FALSE) * IF(R53=1,1,-1),""),IF(R53=5,設定!$B$13,IF(R53=6,-1*設定!$B$13,"")))</f>
        <v/>
      </c>
      <c r="N53" s="377" t="str">
        <f>IF($B53&lt;&gt;"",IFERROR(VALUE(M54),0)+IFERROR(VALUE(M53),0),"")</f>
        <v/>
      </c>
      <c r="O53" s="9" t="str">
        <f>IF(OR($R53=1,$R53=2,$R53=3),設定!$B$14,IF($B53&lt;&gt;"",0,""))</f>
        <v/>
      </c>
      <c r="P53" s="233"/>
      <c r="R53" s="99" t="str">
        <f>IF(B53&lt;&gt;"",VLOOKUP(B53,リスト!$N$2:$O$9,2,FALSE),"")</f>
        <v/>
      </c>
      <c r="S53" s="99" t="str">
        <f>IF(OR(R53=2,R53=3),$AB$7,$Y$10)</f>
        <v>W10</v>
      </c>
      <c r="T53" s="99" t="str">
        <f ca="1">IF(OR(R53=2,R53=3),CELL("address",U53),IF(R53=1,$Y$7,$Y$10))</f>
        <v>W10</v>
      </c>
      <c r="U53" s="99" t="str">
        <f>IF(AND(OR(R53=2, R53=3),D53&lt;&gt;"",D53&lt;&gt;"-"),VLOOKUP(D53,エントリー!$A$6:$K$85,6,TRUE),"-")</f>
        <v>-</v>
      </c>
      <c r="V53" s="99" t="str">
        <f>IF(AND(E53&lt;&gt;"",E53&lt;&gt;"-"),VLOOKUP(E53,競技一覧!$P$5:$T$50,5,FALSE),"")</f>
        <v/>
      </c>
      <c r="W53" s="99" t="str">
        <f ca="1">IF(OR(R53=2,R53=3),CELL("address",X53),IF(OR(R53=4),CELL("address",Y53),IF(R53=1,$Y$8,$Y$10)))</f>
        <v>W10</v>
      </c>
      <c r="X53" s="99" t="str">
        <f>IF(AND(D53&lt;&gt;"",D53&lt;&gt;"-"),VLOOKUP(D53,エントリー!$A$6:$K$85,7,TRUE),"-")</f>
        <v>-</v>
      </c>
      <c r="Y53" s="99" t="str">
        <f>IF(R53=4,G53 &amp; " " &amp; H53,"")</f>
        <v/>
      </c>
      <c r="Z53" s="99" t="str">
        <f ca="1">IF(R53=4,$AB$9,IF(OR(R53=1,R53=2,R53=3),CELL("address",AA53),$Y$10))</f>
        <v>W10</v>
      </c>
      <c r="AA53" s="99" t="str">
        <f>IF(AND(F53&lt;&gt;"",F53&lt;&gt;"-",OR(R53=1,R53=2,R53=3)),VLOOKUP(F53,選手登録!$L$7:$M$31,2,FALSE),"-")</f>
        <v>-</v>
      </c>
      <c r="AB53" s="99" t="str">
        <f ca="1">IF(OR(R53=1,R53=2,R53=3),CELL("address",AC53),IF(OR(R53=4),$AB$10,$Y$10))</f>
        <v>W10</v>
      </c>
      <c r="AC53" s="99" t="str">
        <f>IF(AND(F53&lt;&gt;"",F53&lt;&gt;"-",OR(R53=1,R53=2,R53=3)),VLOOKUP(F53,選手登録!$L$7:$N$31,3,FALSE),"-")</f>
        <v>-</v>
      </c>
      <c r="AD53" s="99" t="str">
        <f ca="1">IF(OR(R53=2,R53=3),CELL("address",AE53),IF(OR(R53=1,R53=6),$Y$9,IF(R53=5,"",$Y$10)))</f>
        <v>W10</v>
      </c>
      <c r="AE53" s="99" t="str">
        <f>IF(AND(D53&lt;&gt;"",D53&lt;&gt;"-",OR(R53=2,R53=3)),VLOOKUP(D53,エントリー!$A$6:$K$85,8,TRUE),$Y$10)</f>
        <v>W10</v>
      </c>
      <c r="AF53" s="99" t="str">
        <f ca="1">IF(OR(R53=2,R53=3),CELL("address",AG53),IF(R53=1,VLOOKUP(V53,競技一覧!$T$5:$AA$50,8,TRUE),$Y$10))</f>
        <v>W10</v>
      </c>
      <c r="AG53" s="99" t="str">
        <f>IF(AND(OR(R53=2,R53=3),D53&lt;&gt;"",D53&lt;&gt;"-"),VLOOKUP(D53,エントリー!$A$6:$J$85,10,TRUE),$X$10)</f>
        <v>-</v>
      </c>
      <c r="AH53" s="99" t="str">
        <f>IF(F53&lt;&gt;"",F53,IF(Y53&lt;&gt;"",Y53,""))</f>
        <v/>
      </c>
      <c r="AJ53" s="99" t="str">
        <f t="shared" si="22"/>
        <v/>
      </c>
      <c r="AK53" s="99" t="str">
        <f t="shared" si="23"/>
        <v/>
      </c>
      <c r="AL53" s="99" t="str">
        <f>IF(F53&lt;&gt;"",IFERROR(VLOOKUP(AH53,選手登録!$L$7:$O$56,4,FALSE),""),"")</f>
        <v/>
      </c>
      <c r="AM53" s="99" t="str">
        <f>IF(K53&lt;&gt;"",IFERROR(VLOOKUP(K53,馬匹登録!$B$8:$G$54,6,FALSE),""),"")</f>
        <v/>
      </c>
      <c r="AN53" s="99" t="str">
        <f>IFERROR(VLOOKUP(L53,リスト!$H$2:$I$5,2,FALSE),"")</f>
        <v/>
      </c>
      <c r="AO53" s="99" t="str">
        <f t="shared" si="24"/>
        <v/>
      </c>
      <c r="AP53" s="99" t="str">
        <f t="shared" si="25"/>
        <v/>
      </c>
      <c r="AQ53" s="99" t="str">
        <f t="shared" si="26"/>
        <v/>
      </c>
      <c r="AR53" s="99" t="str">
        <f t="shared" si="27"/>
        <v/>
      </c>
      <c r="AS53" s="99" t="str">
        <f t="shared" si="28"/>
        <v/>
      </c>
      <c r="AT53" s="99" t="str">
        <f t="shared" si="29"/>
        <v/>
      </c>
      <c r="AU53" s="99" t="str">
        <f t="shared" si="30"/>
        <v/>
      </c>
      <c r="AV53" s="99" t="str">
        <f t="shared" si="31"/>
        <v/>
      </c>
      <c r="AW53" s="99" t="str">
        <f t="shared" si="10"/>
        <v/>
      </c>
      <c r="AX53" s="99"/>
      <c r="AZ53" s="99">
        <f t="shared" si="19"/>
        <v>0</v>
      </c>
      <c r="BA53" s="99" t="str">
        <f t="shared" si="12"/>
        <v/>
      </c>
      <c r="BB53" s="99">
        <f t="shared" si="13"/>
        <v>20</v>
      </c>
      <c r="BC53" s="99" t="str">
        <f t="shared" si="14"/>
        <v/>
      </c>
      <c r="BD53" s="99" t="str">
        <f t="shared" si="15"/>
        <v/>
      </c>
      <c r="BF53" s="99">
        <f t="shared" si="20"/>
        <v>0</v>
      </c>
      <c r="BG53" s="99" t="str">
        <f t="shared" si="21"/>
        <v/>
      </c>
      <c r="BH53" s="99">
        <f t="shared" si="16"/>
        <v>20</v>
      </c>
      <c r="BI53" s="99" t="str">
        <f t="shared" si="17"/>
        <v/>
      </c>
      <c r="BJ53" s="99" t="str">
        <f t="shared" si="18"/>
        <v/>
      </c>
    </row>
    <row r="54" spans="1:62" ht="22.5" customHeight="1" thickBot="1" x14ac:dyDescent="0.45">
      <c r="A54" s="384"/>
      <c r="B54" s="385"/>
      <c r="C54" s="239" t="str">
        <f>IF(OR(R53=2),"変更後","")</f>
        <v/>
      </c>
      <c r="D54" s="153"/>
      <c r="E54" s="242"/>
      <c r="F54" s="242"/>
      <c r="G54" s="242"/>
      <c r="H54" s="242"/>
      <c r="I54" s="242"/>
      <c r="J54" s="242"/>
      <c r="K54" s="242"/>
      <c r="L54" s="245"/>
      <c r="M54" s="246" t="str">
        <f>IF(AND(V54&lt;&gt;"",L54&lt;&gt;"",R53=2),IFERROR(VLOOKUP(V54,競技一覧!$T$5:$Z$50,3+VLOOKUP(L54,リスト!$H$2:$I$5,2,FALSE),FALSE),""),"")</f>
        <v/>
      </c>
      <c r="N54" s="378"/>
      <c r="O54" s="261" t="s">
        <v>11</v>
      </c>
      <c r="P54" s="235"/>
      <c r="R54" s="99" t="str">
        <f>R53</f>
        <v/>
      </c>
      <c r="S54" s="99" t="str">
        <f>$Y$10</f>
        <v>W10</v>
      </c>
      <c r="T54" s="99" t="str">
        <f>IF(R53=2,$Y$7,$Y$10)</f>
        <v>W10</v>
      </c>
      <c r="U54" s="99"/>
      <c r="V54" s="99" t="str">
        <f>IF(AND(E54&lt;&gt;"",E54&lt;&gt;"-"),VLOOKUP(E54,競技一覧!$P$5:$T$50,5,FALSE),"")</f>
        <v/>
      </c>
      <c r="W54" s="99" t="str">
        <f>IF(OR(R54=2),$Y$8,$Y$10)</f>
        <v>W10</v>
      </c>
      <c r="X54" s="99"/>
      <c r="Y54" s="99"/>
      <c r="Z54" s="99" t="str">
        <f>IF(R54=2,$AB$9,IF(R54=4,$AE$7,$Y$10))</f>
        <v>W10</v>
      </c>
      <c r="AA54" s="99" t="str">
        <f>IF(AND(F54&lt;&gt;"",F54&lt;&gt;"-",R54=2),VLOOKUP(F54,選手登録!$L$7:$M$31,2,FALSE),"-")</f>
        <v>-</v>
      </c>
      <c r="AB54" s="99" t="str">
        <f ca="1">IF(OR(R54=2),CELL("address",AC54),IF(OR(R54=4,R54=5),"",$Y$10))</f>
        <v>W10</v>
      </c>
      <c r="AC54" s="99" t="str">
        <f>IF(AND(F54&lt;&gt;"",F54&lt;&gt;"-",R54=2),VLOOKUP(F54,選手登録!$L$7:$N$31,3,FALSE),"-")</f>
        <v>-</v>
      </c>
      <c r="AD54" s="99" t="str">
        <f>IF(OR(R54=2),$Y$9,IF(R54=5,"",$Y$10))</f>
        <v>W10</v>
      </c>
      <c r="AE54" s="99" t="str">
        <f>IF(AND(D54&lt;&gt;"",D54&lt;&gt;"-",OR(R54=2,R54=3)),VLOOKUP(D54,エントリー!$A$6:$K$85,8,TRUE),$Y$10)</f>
        <v>W10</v>
      </c>
      <c r="AF54" s="99" t="str">
        <f>IF(R54=2,VLOOKUP(V54,競技一覧!$T$5:$AA$50,8,TRUE),$Y$10)</f>
        <v>W10</v>
      </c>
      <c r="AG54" s="99"/>
      <c r="AH54" s="99"/>
      <c r="AJ54" s="99" t="str">
        <f t="shared" si="22"/>
        <v/>
      </c>
      <c r="AK54" s="99" t="str">
        <f t="shared" si="23"/>
        <v/>
      </c>
      <c r="AL54" s="99" t="str">
        <f>IF(F54&lt;&gt;"",IFERROR(VLOOKUP(AH54,選手登録!$L$7:$O$56,4,FALSE),""),"")</f>
        <v/>
      </c>
      <c r="AM54" s="99" t="str">
        <f>IF(K54&lt;&gt;"",IFERROR(VLOOKUP(K54,馬匹登録!$B$8:$G$54,6,FALSE),""),"")</f>
        <v/>
      </c>
      <c r="AN54" s="99" t="str">
        <f>IFERROR(VLOOKUP(L54,リスト!$H$2:$I$5,2,FALSE),"")</f>
        <v/>
      </c>
      <c r="AO54" s="99" t="str">
        <f t="shared" si="24"/>
        <v/>
      </c>
      <c r="AP54" s="99" t="str">
        <f t="shared" si="25"/>
        <v/>
      </c>
      <c r="AQ54" s="99" t="str">
        <f t="shared" si="26"/>
        <v/>
      </c>
      <c r="AR54" s="99" t="str">
        <f t="shared" si="27"/>
        <v/>
      </c>
      <c r="AS54" s="99" t="str">
        <f t="shared" si="28"/>
        <v/>
      </c>
      <c r="AT54" s="99" t="str">
        <f t="shared" si="29"/>
        <v/>
      </c>
      <c r="AU54" s="99">
        <f>N54</f>
        <v>0</v>
      </c>
      <c r="AV54" s="99" t="str">
        <f t="shared" si="31"/>
        <v>-</v>
      </c>
      <c r="AW54" s="99" t="str">
        <f t="shared" si="10"/>
        <v/>
      </c>
      <c r="AX54" s="99"/>
      <c r="AZ54" s="99">
        <f t="shared" si="19"/>
        <v>0</v>
      </c>
      <c r="BA54" s="99" t="str">
        <f t="shared" si="12"/>
        <v/>
      </c>
      <c r="BB54" s="99">
        <f t="shared" si="13"/>
        <v>0</v>
      </c>
      <c r="BC54" s="99" t="str">
        <f t="shared" si="14"/>
        <v/>
      </c>
      <c r="BD54" s="99" t="str">
        <f t="shared" si="15"/>
        <v/>
      </c>
      <c r="BF54" s="99">
        <f t="shared" si="20"/>
        <v>0</v>
      </c>
      <c r="BG54" s="99"/>
      <c r="BH54" s="99">
        <f t="shared" si="16"/>
        <v>0</v>
      </c>
      <c r="BI54" s="99" t="str">
        <f t="shared" si="17"/>
        <v/>
      </c>
      <c r="BJ54" s="99" t="str">
        <f t="shared" si="18"/>
        <v/>
      </c>
    </row>
    <row r="55" spans="1:62" x14ac:dyDescent="0.4">
      <c r="AL55" t="str">
        <f>IF(F55&lt;&gt;"",IFERROR(VLOOKUP(F55,選手登録!$L$7:$O$51,4,FALSE),""),"")</f>
        <v/>
      </c>
    </row>
  </sheetData>
  <sheetProtection algorithmName="SHA-512" hashValue="DQbEbuKehJOwR+ndmDocktnzmmhXBibwzZWY0EC5VkPWBFsNSlmGbWaw/O6wNmyP8EcsLkU5Ujye8oHDei8Rmg==" saltValue="7bS8xfv2Qa6wm1D7E8Z/Kw==" spinCount="100000" sheet="1" objects="1" scenarios="1"/>
  <dataConsolidate/>
  <mergeCells count="94">
    <mergeCell ref="A33:A34"/>
    <mergeCell ref="B33:B34"/>
    <mergeCell ref="B29:B30"/>
    <mergeCell ref="B31:B32"/>
    <mergeCell ref="A23:A24"/>
    <mergeCell ref="A25:A26"/>
    <mergeCell ref="A31:A32"/>
    <mergeCell ref="B23:B24"/>
    <mergeCell ref="B25:B26"/>
    <mergeCell ref="B27:B28"/>
    <mergeCell ref="A19:A20"/>
    <mergeCell ref="A21:A22"/>
    <mergeCell ref="A1:P1"/>
    <mergeCell ref="A29:A30"/>
    <mergeCell ref="B17:B18"/>
    <mergeCell ref="B19:B20"/>
    <mergeCell ref="B21:B22"/>
    <mergeCell ref="A3:E3"/>
    <mergeCell ref="A27:A28"/>
    <mergeCell ref="N12:N14"/>
    <mergeCell ref="O12:O14"/>
    <mergeCell ref="A12:A14"/>
    <mergeCell ref="A15:A16"/>
    <mergeCell ref="E12:E14"/>
    <mergeCell ref="F12:J12"/>
    <mergeCell ref="B12:B14"/>
    <mergeCell ref="B15:B16"/>
    <mergeCell ref="S13:S14"/>
    <mergeCell ref="N15:N16"/>
    <mergeCell ref="A17:A18"/>
    <mergeCell ref="T13:T14"/>
    <mergeCell ref="N17:N18"/>
    <mergeCell ref="U13:U14"/>
    <mergeCell ref="V13:V14"/>
    <mergeCell ref="C12:C14"/>
    <mergeCell ref="D12:D14"/>
    <mergeCell ref="P12:P14"/>
    <mergeCell ref="L12:L14"/>
    <mergeCell ref="M12:M14"/>
    <mergeCell ref="AE13:AE14"/>
    <mergeCell ref="AF13:AF14"/>
    <mergeCell ref="W13:W14"/>
    <mergeCell ref="X13:X14"/>
    <mergeCell ref="Y13:Y14"/>
    <mergeCell ref="Z13:Z14"/>
    <mergeCell ref="AA13:AA14"/>
    <mergeCell ref="B41:B42"/>
    <mergeCell ref="N39:N40"/>
    <mergeCell ref="N41:N42"/>
    <mergeCell ref="AN13:AN14"/>
    <mergeCell ref="A35:A36"/>
    <mergeCell ref="B35:B36"/>
    <mergeCell ref="A37:A38"/>
    <mergeCell ref="B37:B38"/>
    <mergeCell ref="AG13:AG14"/>
    <mergeCell ref="AJ13:AJ14"/>
    <mergeCell ref="AK13:AK14"/>
    <mergeCell ref="AL13:AL14"/>
    <mergeCell ref="AM13:AM14"/>
    <mergeCell ref="AB13:AB14"/>
    <mergeCell ref="AC13:AC14"/>
    <mergeCell ref="AD13:AD14"/>
    <mergeCell ref="A2:P2"/>
    <mergeCell ref="A51:A52"/>
    <mergeCell ref="B51:B52"/>
    <mergeCell ref="A53:A54"/>
    <mergeCell ref="B53:B54"/>
    <mergeCell ref="A47:A48"/>
    <mergeCell ref="B47:B48"/>
    <mergeCell ref="A49:A50"/>
    <mergeCell ref="B49:B50"/>
    <mergeCell ref="A43:A44"/>
    <mergeCell ref="B43:B44"/>
    <mergeCell ref="A45:A46"/>
    <mergeCell ref="B45:B46"/>
    <mergeCell ref="A39:A40"/>
    <mergeCell ref="B39:B40"/>
    <mergeCell ref="A41:A42"/>
    <mergeCell ref="N19:N20"/>
    <mergeCell ref="N21:N22"/>
    <mergeCell ref="N23:N24"/>
    <mergeCell ref="N25:N26"/>
    <mergeCell ref="N53:N54"/>
    <mergeCell ref="N27:N28"/>
    <mergeCell ref="N29:N30"/>
    <mergeCell ref="N31:N32"/>
    <mergeCell ref="N33:N34"/>
    <mergeCell ref="N35:N36"/>
    <mergeCell ref="N37:N38"/>
    <mergeCell ref="N43:N44"/>
    <mergeCell ref="N45:N46"/>
    <mergeCell ref="N47:N48"/>
    <mergeCell ref="N49:N50"/>
    <mergeCell ref="N51:N52"/>
  </mergeCells>
  <phoneticPr fontId="4"/>
  <conditionalFormatting sqref="E15:F15 I15:L15 I17:L17 I19:L19 I21:L21 I23:L23 I25:L25 I27:L27 I29:L29 I31:L31 I33:L33 I35:L35 I37:L37 I39:L39 I41:L41 I43:L43 I45:L45 I47:L47 I49:L49 I51:L51 I53:L53">
    <cfRule type="expression" dxfId="207" priority="215">
      <formula>$R15=1</formula>
    </cfRule>
  </conditionalFormatting>
  <conditionalFormatting sqref="G15:J15">
    <cfRule type="expression" dxfId="206" priority="214">
      <formula>$R15=4</formula>
    </cfRule>
  </conditionalFormatting>
  <conditionalFormatting sqref="D15:F15 I15:L19 K20:L20 I21:L21 K22:L22 I23:L23 K24:L24 I25:L25 K26:L26 I27:L27 K28:L28 I29:L29 K30:L30 I31:L31 K32:L32 I33:L39 K40:L40 I41:L41 K42:L42 I43:L43 K44:L44 I45:L45 K46:L46 I47:L47 K48:L48 I49:L49 K50:L50 I51:L51 K52:L52 I53:L54">
    <cfRule type="expression" dxfId="205" priority="213">
      <formula>$R15=2</formula>
    </cfRule>
  </conditionalFormatting>
  <conditionalFormatting sqref="E16:F16">
    <cfRule type="expression" dxfId="204" priority="212">
      <formula>$R16=2</formula>
    </cfRule>
  </conditionalFormatting>
  <conditionalFormatting sqref="D15:F15 I15:L15 I17:L17 I19:L19 I21:L21 I23:L23 I25:L25 I27:L27 I29:L29 I31:L31 I33:L33 I35:L35 I37:L37 I39:L39 I41:L41 I43:L43 I45:L45 I47:L47 I49:L49 I51:L51 I53:L53">
    <cfRule type="expression" dxfId="203" priority="211">
      <formula>$R15=3</formula>
    </cfRule>
  </conditionalFormatting>
  <conditionalFormatting sqref="G16:J16">
    <cfRule type="expression" dxfId="202" priority="210">
      <formula>$R16=4</formula>
    </cfRule>
  </conditionalFormatting>
  <conditionalFormatting sqref="K15">
    <cfRule type="expression" dxfId="201" priority="207">
      <formula>$R15=6</formula>
    </cfRule>
    <cfRule type="expression" dxfId="200" priority="209">
      <formula>R15=5</formula>
    </cfRule>
  </conditionalFormatting>
  <conditionalFormatting sqref="J16:K16">
    <cfRule type="expression" dxfId="199" priority="208">
      <formula>$R16=5</formula>
    </cfRule>
  </conditionalFormatting>
  <conditionalFormatting sqref="E17:F17">
    <cfRule type="expression" dxfId="198" priority="206">
      <formula>$R17=1</formula>
    </cfRule>
  </conditionalFormatting>
  <conditionalFormatting sqref="G17:J17">
    <cfRule type="expression" dxfId="197" priority="205">
      <formula>$R17=4</formula>
    </cfRule>
  </conditionalFormatting>
  <conditionalFormatting sqref="D17:F17">
    <cfRule type="expression" dxfId="196" priority="204">
      <formula>$R17=2</formula>
    </cfRule>
  </conditionalFormatting>
  <conditionalFormatting sqref="E18:F18">
    <cfRule type="expression" dxfId="195" priority="203">
      <formula>$R18=2</formula>
    </cfRule>
  </conditionalFormatting>
  <conditionalFormatting sqref="D17:F17">
    <cfRule type="expression" dxfId="194" priority="202">
      <formula>$R17=3</formula>
    </cfRule>
  </conditionalFormatting>
  <conditionalFormatting sqref="G18:J18">
    <cfRule type="expression" dxfId="193" priority="201">
      <formula>$R18=4</formula>
    </cfRule>
  </conditionalFormatting>
  <conditionalFormatting sqref="K17">
    <cfRule type="expression" dxfId="192" priority="198">
      <formula>$R17=6</formula>
    </cfRule>
    <cfRule type="expression" dxfId="191" priority="200">
      <formula>R17=5</formula>
    </cfRule>
  </conditionalFormatting>
  <conditionalFormatting sqref="J18:K18">
    <cfRule type="expression" dxfId="190" priority="199">
      <formula>$R18=5</formula>
    </cfRule>
  </conditionalFormatting>
  <conditionalFormatting sqref="E19:F19">
    <cfRule type="expression" dxfId="189" priority="197">
      <formula>$R19=1</formula>
    </cfRule>
  </conditionalFormatting>
  <conditionalFormatting sqref="G19:J19">
    <cfRule type="expression" dxfId="188" priority="196">
      <formula>$R19=4</formula>
    </cfRule>
  </conditionalFormatting>
  <conditionalFormatting sqref="D19:F19">
    <cfRule type="expression" dxfId="187" priority="195">
      <formula>$R19=2</formula>
    </cfRule>
  </conditionalFormatting>
  <conditionalFormatting sqref="E20:F20">
    <cfRule type="expression" dxfId="186" priority="194">
      <formula>$R20=2</formula>
    </cfRule>
  </conditionalFormatting>
  <conditionalFormatting sqref="D19:F19">
    <cfRule type="expression" dxfId="185" priority="193">
      <formula>$R19=3</formula>
    </cfRule>
  </conditionalFormatting>
  <conditionalFormatting sqref="K19">
    <cfRule type="expression" dxfId="184" priority="189">
      <formula>$R19=6</formula>
    </cfRule>
    <cfRule type="expression" dxfId="183" priority="191">
      <formula>R19=5</formula>
    </cfRule>
  </conditionalFormatting>
  <conditionalFormatting sqref="K20">
    <cfRule type="expression" dxfId="182" priority="190">
      <formula>$R20=5</formula>
    </cfRule>
  </conditionalFormatting>
  <conditionalFormatting sqref="E21:F21">
    <cfRule type="expression" dxfId="181" priority="188">
      <formula>$R21=1</formula>
    </cfRule>
  </conditionalFormatting>
  <conditionalFormatting sqref="G21:J21">
    <cfRule type="expression" dxfId="180" priority="187">
      <formula>$R21=4</formula>
    </cfRule>
  </conditionalFormatting>
  <conditionalFormatting sqref="D21:F21">
    <cfRule type="expression" dxfId="179" priority="186">
      <formula>$R21=2</formula>
    </cfRule>
  </conditionalFormatting>
  <conditionalFormatting sqref="E22:F22">
    <cfRule type="expression" dxfId="178" priority="185">
      <formula>$R22=2</formula>
    </cfRule>
  </conditionalFormatting>
  <conditionalFormatting sqref="D21:F21">
    <cfRule type="expression" dxfId="177" priority="184">
      <formula>$R21=3</formula>
    </cfRule>
  </conditionalFormatting>
  <conditionalFormatting sqref="K21">
    <cfRule type="expression" dxfId="176" priority="180">
      <formula>$R21=6</formula>
    </cfRule>
    <cfRule type="expression" dxfId="175" priority="182">
      <formula>R21=5</formula>
    </cfRule>
  </conditionalFormatting>
  <conditionalFormatting sqref="K22">
    <cfRule type="expression" dxfId="174" priority="181">
      <formula>$R22=5</formula>
    </cfRule>
  </conditionalFormatting>
  <conditionalFormatting sqref="E23:F23">
    <cfRule type="expression" dxfId="173" priority="179">
      <formula>$R23=1</formula>
    </cfRule>
  </conditionalFormatting>
  <conditionalFormatting sqref="G23:J23">
    <cfRule type="expression" dxfId="172" priority="178">
      <formula>$R23=4</formula>
    </cfRule>
  </conditionalFormatting>
  <conditionalFormatting sqref="D23:F23">
    <cfRule type="expression" dxfId="171" priority="177">
      <formula>$R23=2</formula>
    </cfRule>
  </conditionalFormatting>
  <conditionalFormatting sqref="E24:F24">
    <cfRule type="expression" dxfId="170" priority="176">
      <formula>$R24=2</formula>
    </cfRule>
  </conditionalFormatting>
  <conditionalFormatting sqref="D23:F23">
    <cfRule type="expression" dxfId="169" priority="175">
      <formula>$R23=3</formula>
    </cfRule>
  </conditionalFormatting>
  <conditionalFormatting sqref="K23">
    <cfRule type="expression" dxfId="168" priority="171">
      <formula>$R23=6</formula>
    </cfRule>
    <cfRule type="expression" dxfId="167" priority="173">
      <formula>R23=5</formula>
    </cfRule>
  </conditionalFormatting>
  <conditionalFormatting sqref="K24">
    <cfRule type="expression" dxfId="166" priority="172">
      <formula>$R24=5</formula>
    </cfRule>
  </conditionalFormatting>
  <conditionalFormatting sqref="E25:F25">
    <cfRule type="expression" dxfId="165" priority="170">
      <formula>$R25=1</formula>
    </cfRule>
  </conditionalFormatting>
  <conditionalFormatting sqref="G25:J25">
    <cfRule type="expression" dxfId="164" priority="169">
      <formula>$R25=4</formula>
    </cfRule>
  </conditionalFormatting>
  <conditionalFormatting sqref="D25:F25">
    <cfRule type="expression" dxfId="163" priority="168">
      <formula>$R25=2</formula>
    </cfRule>
  </conditionalFormatting>
  <conditionalFormatting sqref="E26:F26">
    <cfRule type="expression" dxfId="162" priority="167">
      <formula>$R26=2</formula>
    </cfRule>
  </conditionalFormatting>
  <conditionalFormatting sqref="D25:F25">
    <cfRule type="expression" dxfId="161" priority="166">
      <formula>$R25=3</formula>
    </cfRule>
  </conditionalFormatting>
  <conditionalFormatting sqref="K25">
    <cfRule type="expression" dxfId="160" priority="162">
      <formula>$R25=6</formula>
    </cfRule>
    <cfRule type="expression" dxfId="159" priority="164">
      <formula>R25=5</formula>
    </cfRule>
  </conditionalFormatting>
  <conditionalFormatting sqref="K26">
    <cfRule type="expression" dxfId="158" priority="163">
      <formula>$R26=5</formula>
    </cfRule>
  </conditionalFormatting>
  <conditionalFormatting sqref="E27:F27">
    <cfRule type="expression" dxfId="157" priority="161">
      <formula>$R27=1</formula>
    </cfRule>
  </conditionalFormatting>
  <conditionalFormatting sqref="G27:J27">
    <cfRule type="expression" dxfId="156" priority="160">
      <formula>$R27=4</formula>
    </cfRule>
  </conditionalFormatting>
  <conditionalFormatting sqref="D27:F27">
    <cfRule type="expression" dxfId="155" priority="159">
      <formula>$R27=2</formula>
    </cfRule>
  </conditionalFormatting>
  <conditionalFormatting sqref="E28:F28">
    <cfRule type="expression" dxfId="154" priority="158">
      <formula>$R28=2</formula>
    </cfRule>
  </conditionalFormatting>
  <conditionalFormatting sqref="D27:F27">
    <cfRule type="expression" dxfId="153" priority="157">
      <formula>$R27=3</formula>
    </cfRule>
  </conditionalFormatting>
  <conditionalFormatting sqref="K27">
    <cfRule type="expression" dxfId="152" priority="153">
      <formula>$R27=6</formula>
    </cfRule>
    <cfRule type="expression" dxfId="151" priority="155">
      <formula>R27=5</formula>
    </cfRule>
  </conditionalFormatting>
  <conditionalFormatting sqref="K28">
    <cfRule type="expression" dxfId="150" priority="154">
      <formula>$R28=5</formula>
    </cfRule>
  </conditionalFormatting>
  <conditionalFormatting sqref="E29:F29">
    <cfRule type="expression" dxfId="149" priority="152">
      <formula>$R29=1</formula>
    </cfRule>
  </conditionalFormatting>
  <conditionalFormatting sqref="G29:J29">
    <cfRule type="expression" dxfId="148" priority="151">
      <formula>$R29=4</formula>
    </cfRule>
  </conditionalFormatting>
  <conditionalFormatting sqref="D29:F29">
    <cfRule type="expression" dxfId="147" priority="150">
      <formula>$R29=2</formula>
    </cfRule>
  </conditionalFormatting>
  <conditionalFormatting sqref="E30:F30">
    <cfRule type="expression" dxfId="146" priority="149">
      <formula>$R30=2</formula>
    </cfRule>
  </conditionalFormatting>
  <conditionalFormatting sqref="D29:F29">
    <cfRule type="expression" dxfId="145" priority="148">
      <formula>$R29=3</formula>
    </cfRule>
  </conditionalFormatting>
  <conditionalFormatting sqref="K29">
    <cfRule type="expression" dxfId="144" priority="144">
      <formula>$R29=6</formula>
    </cfRule>
    <cfRule type="expression" dxfId="143" priority="146">
      <formula>R29=5</formula>
    </cfRule>
  </conditionalFormatting>
  <conditionalFormatting sqref="K30">
    <cfRule type="expression" dxfId="142" priority="145">
      <formula>$R30=5</formula>
    </cfRule>
  </conditionalFormatting>
  <conditionalFormatting sqref="E31:F31">
    <cfRule type="expression" dxfId="141" priority="143">
      <formula>$R31=1</formula>
    </cfRule>
  </conditionalFormatting>
  <conditionalFormatting sqref="G31:J31">
    <cfRule type="expression" dxfId="140" priority="142">
      <formula>$R31=4</formula>
    </cfRule>
  </conditionalFormatting>
  <conditionalFormatting sqref="D31:F31">
    <cfRule type="expression" dxfId="139" priority="141">
      <formula>$R31=2</formula>
    </cfRule>
  </conditionalFormatting>
  <conditionalFormatting sqref="E32:F32">
    <cfRule type="expression" dxfId="138" priority="140">
      <formula>$R32=2</formula>
    </cfRule>
  </conditionalFormatting>
  <conditionalFormatting sqref="D31:F31">
    <cfRule type="expression" dxfId="137" priority="139">
      <formula>$R31=3</formula>
    </cfRule>
  </conditionalFormatting>
  <conditionalFormatting sqref="K31">
    <cfRule type="expression" dxfId="136" priority="135">
      <formula>$R31=6</formula>
    </cfRule>
    <cfRule type="expression" dxfId="135" priority="137">
      <formula>R31=5</formula>
    </cfRule>
  </conditionalFormatting>
  <conditionalFormatting sqref="K32">
    <cfRule type="expression" dxfId="134" priority="136">
      <formula>$R32=5</formula>
    </cfRule>
  </conditionalFormatting>
  <conditionalFormatting sqref="E33:F33">
    <cfRule type="expression" dxfId="133" priority="134">
      <formula>$R33=1</formula>
    </cfRule>
  </conditionalFormatting>
  <conditionalFormatting sqref="G33:J33">
    <cfRule type="expression" dxfId="132" priority="133">
      <formula>$R33=4</formula>
    </cfRule>
  </conditionalFormatting>
  <conditionalFormatting sqref="D33:F33">
    <cfRule type="expression" dxfId="131" priority="132">
      <formula>$R33=2</formula>
    </cfRule>
  </conditionalFormatting>
  <conditionalFormatting sqref="E34:F34">
    <cfRule type="expression" dxfId="130" priority="131">
      <formula>$R34=2</formula>
    </cfRule>
  </conditionalFormatting>
  <conditionalFormatting sqref="D33:F33">
    <cfRule type="expression" dxfId="129" priority="130">
      <formula>$R33=3</formula>
    </cfRule>
  </conditionalFormatting>
  <conditionalFormatting sqref="G34:J34">
    <cfRule type="expression" dxfId="128" priority="129">
      <formula>$R34=4</formula>
    </cfRule>
  </conditionalFormatting>
  <conditionalFormatting sqref="K33">
    <cfRule type="expression" dxfId="127" priority="126">
      <formula>$R33=6</formula>
    </cfRule>
    <cfRule type="expression" dxfId="126" priority="128">
      <formula>R33=5</formula>
    </cfRule>
  </conditionalFormatting>
  <conditionalFormatting sqref="J34:K34">
    <cfRule type="expression" dxfId="125" priority="127">
      <formula>$R34=5</formula>
    </cfRule>
  </conditionalFormatting>
  <conditionalFormatting sqref="I20:J20">
    <cfRule type="expression" dxfId="124" priority="125">
      <formula>$R20=2</formula>
    </cfRule>
  </conditionalFormatting>
  <conditionalFormatting sqref="G20:J20">
    <cfRule type="expression" dxfId="123" priority="124">
      <formula>$R20=4</formula>
    </cfRule>
  </conditionalFormatting>
  <conditionalFormatting sqref="J20">
    <cfRule type="expression" dxfId="122" priority="123">
      <formula>$R20=5</formula>
    </cfRule>
  </conditionalFormatting>
  <conditionalFormatting sqref="I22:J22">
    <cfRule type="expression" dxfId="121" priority="122">
      <formula>$R22=2</formula>
    </cfRule>
  </conditionalFormatting>
  <conditionalFormatting sqref="G22:J22">
    <cfRule type="expression" dxfId="120" priority="121">
      <formula>$R22=4</formula>
    </cfRule>
  </conditionalFormatting>
  <conditionalFormatting sqref="J22">
    <cfRule type="expression" dxfId="119" priority="120">
      <formula>$R22=5</formula>
    </cfRule>
  </conditionalFormatting>
  <conditionalFormatting sqref="I24:J24">
    <cfRule type="expression" dxfId="118" priority="119">
      <formula>$R24=2</formula>
    </cfRule>
  </conditionalFormatting>
  <conditionalFormatting sqref="G24:J24">
    <cfRule type="expression" dxfId="117" priority="118">
      <formula>$R24=4</formula>
    </cfRule>
  </conditionalFormatting>
  <conditionalFormatting sqref="J24">
    <cfRule type="expression" dxfId="116" priority="117">
      <formula>$R24=5</formula>
    </cfRule>
  </conditionalFormatting>
  <conditionalFormatting sqref="I26:J26">
    <cfRule type="expression" dxfId="115" priority="116">
      <formula>$R26=2</formula>
    </cfRule>
  </conditionalFormatting>
  <conditionalFormatting sqref="G26:J26">
    <cfRule type="expression" dxfId="114" priority="115">
      <formula>$R26=4</formula>
    </cfRule>
  </conditionalFormatting>
  <conditionalFormatting sqref="J26">
    <cfRule type="expression" dxfId="113" priority="114">
      <formula>$R26=5</formula>
    </cfRule>
  </conditionalFormatting>
  <conditionalFormatting sqref="I28:J28">
    <cfRule type="expression" dxfId="112" priority="113">
      <formula>$R28=2</formula>
    </cfRule>
  </conditionalFormatting>
  <conditionalFormatting sqref="G28:J28">
    <cfRule type="expression" dxfId="111" priority="112">
      <formula>$R28=4</formula>
    </cfRule>
  </conditionalFormatting>
  <conditionalFormatting sqref="J28">
    <cfRule type="expression" dxfId="110" priority="111">
      <formula>$R28=5</formula>
    </cfRule>
  </conditionalFormatting>
  <conditionalFormatting sqref="I30:J30">
    <cfRule type="expression" dxfId="109" priority="110">
      <formula>$R30=2</formula>
    </cfRule>
  </conditionalFormatting>
  <conditionalFormatting sqref="G30:J30">
    <cfRule type="expression" dxfId="108" priority="109">
      <formula>$R30=4</formula>
    </cfRule>
  </conditionalFormatting>
  <conditionalFormatting sqref="J30">
    <cfRule type="expression" dxfId="107" priority="108">
      <formula>$R30=5</formula>
    </cfRule>
  </conditionalFormatting>
  <conditionalFormatting sqref="I32:J32">
    <cfRule type="expression" dxfId="106" priority="107">
      <formula>$R32=2</formula>
    </cfRule>
  </conditionalFormatting>
  <conditionalFormatting sqref="G32:J32">
    <cfRule type="expression" dxfId="105" priority="106">
      <formula>$R32=4</formula>
    </cfRule>
  </conditionalFormatting>
  <conditionalFormatting sqref="J32">
    <cfRule type="expression" dxfId="104" priority="105">
      <formula>$R32=5</formula>
    </cfRule>
  </conditionalFormatting>
  <conditionalFormatting sqref="E35:F35">
    <cfRule type="expression" dxfId="103" priority="104">
      <formula>$R35=1</formula>
    </cfRule>
  </conditionalFormatting>
  <conditionalFormatting sqref="G35:J35">
    <cfRule type="expression" dxfId="102" priority="103">
      <formula>$R35=4</formula>
    </cfRule>
  </conditionalFormatting>
  <conditionalFormatting sqref="D35:F35">
    <cfRule type="expression" dxfId="101" priority="102">
      <formula>$R35=2</formula>
    </cfRule>
  </conditionalFormatting>
  <conditionalFormatting sqref="E36:F36">
    <cfRule type="expression" dxfId="100" priority="101">
      <formula>$R36=2</formula>
    </cfRule>
  </conditionalFormatting>
  <conditionalFormatting sqref="D35:F35">
    <cfRule type="expression" dxfId="99" priority="100">
      <formula>$R35=3</formula>
    </cfRule>
  </conditionalFormatting>
  <conditionalFormatting sqref="G36:J36">
    <cfRule type="expression" dxfId="98" priority="99">
      <formula>$R36=4</formula>
    </cfRule>
  </conditionalFormatting>
  <conditionalFormatting sqref="K35">
    <cfRule type="expression" dxfId="97" priority="96">
      <formula>$R35=6</formula>
    </cfRule>
    <cfRule type="expression" dxfId="96" priority="98">
      <formula>R35=5</formula>
    </cfRule>
  </conditionalFormatting>
  <conditionalFormatting sqref="J36:K36">
    <cfRule type="expression" dxfId="95" priority="97">
      <formula>$R36=5</formula>
    </cfRule>
  </conditionalFormatting>
  <conditionalFormatting sqref="E37:F37">
    <cfRule type="expression" dxfId="94" priority="95">
      <formula>$R37=1</formula>
    </cfRule>
  </conditionalFormatting>
  <conditionalFormatting sqref="G37:J37">
    <cfRule type="expression" dxfId="93" priority="94">
      <formula>$R37=4</formula>
    </cfRule>
  </conditionalFormatting>
  <conditionalFormatting sqref="D37:F37">
    <cfRule type="expression" dxfId="92" priority="93">
      <formula>$R37=2</formula>
    </cfRule>
  </conditionalFormatting>
  <conditionalFormatting sqref="E38:F38">
    <cfRule type="expression" dxfId="91" priority="92">
      <formula>$R38=2</formula>
    </cfRule>
  </conditionalFormatting>
  <conditionalFormatting sqref="D37:F37">
    <cfRule type="expression" dxfId="90" priority="91">
      <formula>$R37=3</formula>
    </cfRule>
  </conditionalFormatting>
  <conditionalFormatting sqref="G38:J38">
    <cfRule type="expression" dxfId="89" priority="90">
      <formula>$R38=4</formula>
    </cfRule>
  </conditionalFormatting>
  <conditionalFormatting sqref="K37">
    <cfRule type="expression" dxfId="88" priority="87">
      <formula>$R37=6</formula>
    </cfRule>
    <cfRule type="expression" dxfId="87" priority="89">
      <formula>R37=5</formula>
    </cfRule>
  </conditionalFormatting>
  <conditionalFormatting sqref="J38:K38">
    <cfRule type="expression" dxfId="86" priority="88">
      <formula>$R38=5</formula>
    </cfRule>
  </conditionalFormatting>
  <conditionalFormatting sqref="E39:F39">
    <cfRule type="expression" dxfId="85" priority="86">
      <formula>$R39=1</formula>
    </cfRule>
  </conditionalFormatting>
  <conditionalFormatting sqref="G39:J39">
    <cfRule type="expression" dxfId="84" priority="85">
      <formula>$R39=4</formula>
    </cfRule>
  </conditionalFormatting>
  <conditionalFormatting sqref="D39:F39">
    <cfRule type="expression" dxfId="83" priority="84">
      <formula>$R39=2</formula>
    </cfRule>
  </conditionalFormatting>
  <conditionalFormatting sqref="E40:F40">
    <cfRule type="expression" dxfId="82" priority="83">
      <formula>$R40=2</formula>
    </cfRule>
  </conditionalFormatting>
  <conditionalFormatting sqref="D39:F39">
    <cfRule type="expression" dxfId="81" priority="82">
      <formula>$R39=3</formula>
    </cfRule>
  </conditionalFormatting>
  <conditionalFormatting sqref="K39">
    <cfRule type="expression" dxfId="80" priority="79">
      <formula>$R39=6</formula>
    </cfRule>
    <cfRule type="expression" dxfId="79" priority="81">
      <formula>R39=5</formula>
    </cfRule>
  </conditionalFormatting>
  <conditionalFormatting sqref="K40">
    <cfRule type="expression" dxfId="78" priority="80">
      <formula>$R40=5</formula>
    </cfRule>
  </conditionalFormatting>
  <conditionalFormatting sqref="E41:F41">
    <cfRule type="expression" dxfId="77" priority="78">
      <formula>$R41=1</formula>
    </cfRule>
  </conditionalFormatting>
  <conditionalFormatting sqref="G41:J41">
    <cfRule type="expression" dxfId="76" priority="77">
      <formula>$R41=4</formula>
    </cfRule>
  </conditionalFormatting>
  <conditionalFormatting sqref="D41:F41">
    <cfRule type="expression" dxfId="75" priority="76">
      <formula>$R41=2</formula>
    </cfRule>
  </conditionalFormatting>
  <conditionalFormatting sqref="E42:F42">
    <cfRule type="expression" dxfId="74" priority="75">
      <formula>$R42=2</formula>
    </cfRule>
  </conditionalFormatting>
  <conditionalFormatting sqref="D41:F41">
    <cfRule type="expression" dxfId="73" priority="74">
      <formula>$R41=3</formula>
    </cfRule>
  </conditionalFormatting>
  <conditionalFormatting sqref="K41">
    <cfRule type="expression" dxfId="72" priority="71">
      <formula>$R41=6</formula>
    </cfRule>
    <cfRule type="expression" dxfId="71" priority="73">
      <formula>R41=5</formula>
    </cfRule>
  </conditionalFormatting>
  <conditionalFormatting sqref="K42">
    <cfRule type="expression" dxfId="70" priority="72">
      <formula>$R42=5</formula>
    </cfRule>
  </conditionalFormatting>
  <conditionalFormatting sqref="E43:F43">
    <cfRule type="expression" dxfId="69" priority="70">
      <formula>$R43=1</formula>
    </cfRule>
  </conditionalFormatting>
  <conditionalFormatting sqref="G43:J43">
    <cfRule type="expression" dxfId="68" priority="69">
      <formula>$R43=4</formula>
    </cfRule>
  </conditionalFormatting>
  <conditionalFormatting sqref="D43:F43">
    <cfRule type="expression" dxfId="67" priority="68">
      <formula>$R43=2</formula>
    </cfRule>
  </conditionalFormatting>
  <conditionalFormatting sqref="E44:F44">
    <cfRule type="expression" dxfId="66" priority="67">
      <formula>$R44=2</formula>
    </cfRule>
  </conditionalFormatting>
  <conditionalFormatting sqref="D43:F43">
    <cfRule type="expression" dxfId="65" priority="66">
      <formula>$R43=3</formula>
    </cfRule>
  </conditionalFormatting>
  <conditionalFormatting sqref="K43">
    <cfRule type="expression" dxfId="64" priority="63">
      <formula>$R43=6</formula>
    </cfRule>
    <cfRule type="expression" dxfId="63" priority="65">
      <formula>R43=5</formula>
    </cfRule>
  </conditionalFormatting>
  <conditionalFormatting sqref="K44">
    <cfRule type="expression" dxfId="62" priority="64">
      <formula>$R44=5</formula>
    </cfRule>
  </conditionalFormatting>
  <conditionalFormatting sqref="E45:F45">
    <cfRule type="expression" dxfId="61" priority="62">
      <formula>$R45=1</formula>
    </cfRule>
  </conditionalFormatting>
  <conditionalFormatting sqref="G45:J45">
    <cfRule type="expression" dxfId="60" priority="61">
      <formula>$R45=4</formula>
    </cfRule>
  </conditionalFormatting>
  <conditionalFormatting sqref="D45:F45">
    <cfRule type="expression" dxfId="59" priority="60">
      <formula>$R45=2</formula>
    </cfRule>
  </conditionalFormatting>
  <conditionalFormatting sqref="E46:F46">
    <cfRule type="expression" dxfId="58" priority="59">
      <formula>$R46=2</formula>
    </cfRule>
  </conditionalFormatting>
  <conditionalFormatting sqref="D45:F45">
    <cfRule type="expression" dxfId="57" priority="58">
      <formula>$R45=3</formula>
    </cfRule>
  </conditionalFormatting>
  <conditionalFormatting sqref="K45">
    <cfRule type="expression" dxfId="56" priority="55">
      <formula>$R45=6</formula>
    </cfRule>
    <cfRule type="expression" dxfId="55" priority="57">
      <formula>R45=5</formula>
    </cfRule>
  </conditionalFormatting>
  <conditionalFormatting sqref="K46">
    <cfRule type="expression" dxfId="54" priority="56">
      <formula>$R46=5</formula>
    </cfRule>
  </conditionalFormatting>
  <conditionalFormatting sqref="E47:F47">
    <cfRule type="expression" dxfId="53" priority="54">
      <formula>$R47=1</formula>
    </cfRule>
  </conditionalFormatting>
  <conditionalFormatting sqref="G47:J47">
    <cfRule type="expression" dxfId="52" priority="53">
      <formula>$R47=4</formula>
    </cfRule>
  </conditionalFormatting>
  <conditionalFormatting sqref="D47:F47">
    <cfRule type="expression" dxfId="51" priority="52">
      <formula>$R47=2</formula>
    </cfRule>
  </conditionalFormatting>
  <conditionalFormatting sqref="E48:F48">
    <cfRule type="expression" dxfId="50" priority="51">
      <formula>$R48=2</formula>
    </cfRule>
  </conditionalFormatting>
  <conditionalFormatting sqref="D47:F47">
    <cfRule type="expression" dxfId="49" priority="50">
      <formula>$R47=3</formula>
    </cfRule>
  </conditionalFormatting>
  <conditionalFormatting sqref="K47">
    <cfRule type="expression" dxfId="48" priority="47">
      <formula>$R47=6</formula>
    </cfRule>
    <cfRule type="expression" dxfId="47" priority="49">
      <formula>R47=5</formula>
    </cfRule>
  </conditionalFormatting>
  <conditionalFormatting sqref="K48">
    <cfRule type="expression" dxfId="46" priority="48">
      <formula>$R48=5</formula>
    </cfRule>
  </conditionalFormatting>
  <conditionalFormatting sqref="E49:F49">
    <cfRule type="expression" dxfId="45" priority="46">
      <formula>$R49=1</formula>
    </cfRule>
  </conditionalFormatting>
  <conditionalFormatting sqref="G49:J49">
    <cfRule type="expression" dxfId="44" priority="45">
      <formula>$R49=4</formula>
    </cfRule>
  </conditionalFormatting>
  <conditionalFormatting sqref="D49:F49">
    <cfRule type="expression" dxfId="43" priority="44">
      <formula>$R49=2</formula>
    </cfRule>
  </conditionalFormatting>
  <conditionalFormatting sqref="E50:F50">
    <cfRule type="expression" dxfId="42" priority="43">
      <formula>$R50=2</formula>
    </cfRule>
  </conditionalFormatting>
  <conditionalFormatting sqref="D49:F49">
    <cfRule type="expression" dxfId="41" priority="42">
      <formula>$R49=3</formula>
    </cfRule>
  </conditionalFormatting>
  <conditionalFormatting sqref="K49">
    <cfRule type="expression" dxfId="40" priority="39">
      <formula>$R49=6</formula>
    </cfRule>
    <cfRule type="expression" dxfId="39" priority="41">
      <formula>R49=5</formula>
    </cfRule>
  </conditionalFormatting>
  <conditionalFormatting sqref="K50">
    <cfRule type="expression" dxfId="38" priority="40">
      <formula>$R50=5</formula>
    </cfRule>
  </conditionalFormatting>
  <conditionalFormatting sqref="E51:F51">
    <cfRule type="expression" dxfId="37" priority="38">
      <formula>$R51=1</formula>
    </cfRule>
  </conditionalFormatting>
  <conditionalFormatting sqref="G51:J51">
    <cfRule type="expression" dxfId="36" priority="37">
      <formula>$R51=4</formula>
    </cfRule>
  </conditionalFormatting>
  <conditionalFormatting sqref="D51:F51">
    <cfRule type="expression" dxfId="35" priority="36">
      <formula>$R51=2</formula>
    </cfRule>
  </conditionalFormatting>
  <conditionalFormatting sqref="E52:F52">
    <cfRule type="expression" dxfId="34" priority="35">
      <formula>$R52=2</formula>
    </cfRule>
  </conditionalFormatting>
  <conditionalFormatting sqref="D51:F51">
    <cfRule type="expression" dxfId="33" priority="34">
      <formula>$R51=3</formula>
    </cfRule>
  </conditionalFormatting>
  <conditionalFormatting sqref="K51">
    <cfRule type="expression" dxfId="32" priority="31">
      <formula>$R51=6</formula>
    </cfRule>
    <cfRule type="expression" dxfId="31" priority="33">
      <formula>R51=5</formula>
    </cfRule>
  </conditionalFormatting>
  <conditionalFormatting sqref="K52">
    <cfRule type="expression" dxfId="30" priority="32">
      <formula>$R52=5</formula>
    </cfRule>
  </conditionalFormatting>
  <conditionalFormatting sqref="E53:F53">
    <cfRule type="expression" dxfId="29" priority="30">
      <formula>$R53=1</formula>
    </cfRule>
  </conditionalFormatting>
  <conditionalFormatting sqref="G53:J53">
    <cfRule type="expression" dxfId="28" priority="29">
      <formula>$R53=4</formula>
    </cfRule>
  </conditionalFormatting>
  <conditionalFormatting sqref="D53:F53">
    <cfRule type="expression" dxfId="27" priority="28">
      <formula>$R53=2</formula>
    </cfRule>
  </conditionalFormatting>
  <conditionalFormatting sqref="E54:F54">
    <cfRule type="expression" dxfId="26" priority="27">
      <formula>$R54=2</formula>
    </cfRule>
  </conditionalFormatting>
  <conditionalFormatting sqref="D53:F53">
    <cfRule type="expression" dxfId="25" priority="26">
      <formula>$R53=3</formula>
    </cfRule>
  </conditionalFormatting>
  <conditionalFormatting sqref="G54:J54">
    <cfRule type="expression" dxfId="24" priority="25">
      <formula>$R54=4</formula>
    </cfRule>
  </conditionalFormatting>
  <conditionalFormatting sqref="K53">
    <cfRule type="expression" dxfId="23" priority="22">
      <formula>$R53=6</formula>
    </cfRule>
    <cfRule type="expression" dxfId="22" priority="24">
      <formula>R53=5</formula>
    </cfRule>
  </conditionalFormatting>
  <conditionalFormatting sqref="J54:K54">
    <cfRule type="expression" dxfId="21" priority="23">
      <formula>$R54=5</formula>
    </cfRule>
  </conditionalFormatting>
  <conditionalFormatting sqref="I40:J40">
    <cfRule type="expression" dxfId="20" priority="21">
      <formula>$R40=2</formula>
    </cfRule>
  </conditionalFormatting>
  <conditionalFormatting sqref="G40:J40">
    <cfRule type="expression" dxfId="19" priority="20">
      <formula>$R40=4</formula>
    </cfRule>
  </conditionalFormatting>
  <conditionalFormatting sqref="J40">
    <cfRule type="expression" dxfId="18" priority="19">
      <formula>$R40=5</formula>
    </cfRule>
  </conditionalFormatting>
  <conditionalFormatting sqref="I42:J42">
    <cfRule type="expression" dxfId="17" priority="18">
      <formula>$R42=2</formula>
    </cfRule>
  </conditionalFormatting>
  <conditionalFormatting sqref="G42:J42">
    <cfRule type="expression" dxfId="16" priority="17">
      <formula>$R42=4</formula>
    </cfRule>
  </conditionalFormatting>
  <conditionalFormatting sqref="J42">
    <cfRule type="expression" dxfId="15" priority="16">
      <formula>$R42=5</formula>
    </cfRule>
  </conditionalFormatting>
  <conditionalFormatting sqref="I44:J44">
    <cfRule type="expression" dxfId="14" priority="15">
      <formula>$R44=2</formula>
    </cfRule>
  </conditionalFormatting>
  <conditionalFormatting sqref="G44:J44">
    <cfRule type="expression" dxfId="13" priority="14">
      <formula>$R44=4</formula>
    </cfRule>
  </conditionalFormatting>
  <conditionalFormatting sqref="J44">
    <cfRule type="expression" dxfId="12" priority="13">
      <formula>$R44=5</formula>
    </cfRule>
  </conditionalFormatting>
  <conditionalFormatting sqref="I46:J46">
    <cfRule type="expression" dxfId="11" priority="12">
      <formula>$R46=2</formula>
    </cfRule>
  </conditionalFormatting>
  <conditionalFormatting sqref="G46:J46">
    <cfRule type="expression" dxfId="10" priority="11">
      <formula>$R46=4</formula>
    </cfRule>
  </conditionalFormatting>
  <conditionalFormatting sqref="J46">
    <cfRule type="expression" dxfId="9" priority="10">
      <formula>$R46=5</formula>
    </cfRule>
  </conditionalFormatting>
  <conditionalFormatting sqref="I48:J48">
    <cfRule type="expression" dxfId="8" priority="9">
      <formula>$R48=2</formula>
    </cfRule>
  </conditionalFormatting>
  <conditionalFormatting sqref="G48:J48">
    <cfRule type="expression" dxfId="7" priority="8">
      <formula>$R48=4</formula>
    </cfRule>
  </conditionalFormatting>
  <conditionalFormatting sqref="J48">
    <cfRule type="expression" dxfId="6" priority="7">
      <formula>$R48=5</formula>
    </cfRule>
  </conditionalFormatting>
  <conditionalFormatting sqref="I50:J50">
    <cfRule type="expression" dxfId="5" priority="6">
      <formula>$R50=2</formula>
    </cfRule>
  </conditionalFormatting>
  <conditionalFormatting sqref="G50:J50">
    <cfRule type="expression" dxfId="4" priority="5">
      <formula>$R50=4</formula>
    </cfRule>
  </conditionalFormatting>
  <conditionalFormatting sqref="J50">
    <cfRule type="expression" dxfId="3" priority="4">
      <formula>$R50=5</formula>
    </cfRule>
  </conditionalFormatting>
  <conditionalFormatting sqref="I52:J52">
    <cfRule type="expression" dxfId="2" priority="3">
      <formula>$R52=2</formula>
    </cfRule>
  </conditionalFormatting>
  <conditionalFormatting sqref="G52:J52">
    <cfRule type="expression" dxfId="1" priority="2">
      <formula>$R52=4</formula>
    </cfRule>
  </conditionalFormatting>
  <conditionalFormatting sqref="J52">
    <cfRule type="expression" dxfId="0" priority="1">
      <formula>$R52=5</formula>
    </cfRule>
  </conditionalFormatting>
  <dataValidations count="6">
    <dataValidation type="list" allowBlank="1" showInputMessage="1" showErrorMessage="1" sqref="D15:E54" xr:uid="{3866A025-2357-4F1B-B421-3E633874CE0A}">
      <formula1>INDIRECT(S15)</formula1>
    </dataValidation>
    <dataValidation type="list" allowBlank="1" showInputMessage="1" showErrorMessage="1" sqref="I15:I54 F15:F54" xr:uid="{075EACC6-A200-4091-94E1-9E4072DD06BC}">
      <formula1>INDIRECT(W15)</formula1>
    </dataValidation>
    <dataValidation type="list" allowBlank="1" showInputMessage="1" showErrorMessage="1" sqref="J33 J37 J35 J39 J41 J43 J45 J47 J49 J51 J53 J17 J15 J19 J21 J23 J25 J27 J29 J31" xr:uid="{039942C6-AB5C-4438-BDAF-089B92E38698}">
      <formula1>INDIRECT(AB15)</formula1>
    </dataValidation>
    <dataValidation type="list" allowBlank="1" showInputMessage="1" sqref="K15:K54" xr:uid="{ABC3790B-81D8-408D-B5CB-4FF13A5A9121}">
      <formula1>INDIRECT(AD15)</formula1>
    </dataValidation>
    <dataValidation type="list" allowBlank="1" showInputMessage="1" showErrorMessage="1" sqref="L15:L54" xr:uid="{2AEDE01C-1140-497D-81D1-F9EAF95829E1}">
      <formula1>INDIRECT(AF15)</formula1>
    </dataValidation>
    <dataValidation type="list" allowBlank="1" showInputMessage="1" sqref="J16 J54 J50 J48 J46 J44 J42 J40 J52 J38 J36 J34 J30 J28 J26 J24 J22 J20 J32 J18" xr:uid="{AA5683D7-7169-4D89-89B4-47F88DB13FBC}">
      <formula1>INDIRECT(AB16)</formula1>
    </dataValidation>
  </dataValidations>
  <printOptions horizontalCentered="1"/>
  <pageMargins left="0.23622047244094491" right="0.23622047244094491" top="0.39370078740157483" bottom="0.39370078740157483" header="0.31496062992125984" footer="0.11811023622047245"/>
  <pageSetup paperSize="9" scale="71" fitToHeight="0" orientation="landscape" r:id="rId1"/>
  <headerFooter>
    <oddFooter>&amp;P / &amp;N ページ</oddFooter>
  </headerFooter>
  <rowBreaks count="1" manualBreakCount="1">
    <brk id="34"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C23F7B2-E693-455E-8389-6C4F086D3933}">
          <x14:formula1>
            <xm:f>リスト!$N$2:$N$9</xm:f>
          </x14:formula1>
          <xm:sqref>B15:B54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ED23-A4A9-4AD2-9DFB-87A16A2CB3CE}">
  <sheetPr codeName="Sheet10">
    <tabColor rgb="FF92D050"/>
  </sheetPr>
  <dimension ref="A1:N21"/>
  <sheetViews>
    <sheetView view="pageBreakPreview" zoomScaleNormal="100" zoomScaleSheetLayoutView="100" workbookViewId="0">
      <selection activeCell="A6" sqref="A6:J6"/>
    </sheetView>
  </sheetViews>
  <sheetFormatPr defaultRowHeight="18.75" x14ac:dyDescent="0.4"/>
  <cols>
    <col min="1" max="1" width="3" customWidth="1"/>
    <col min="2" max="2" width="18" customWidth="1"/>
    <col min="3" max="3" width="22.25" customWidth="1"/>
    <col min="4" max="4" width="7.25" customWidth="1"/>
    <col min="5" max="5" width="8.375" customWidth="1"/>
    <col min="6" max="10" width="15.625" customWidth="1"/>
    <col min="11" max="11" width="23.375" customWidth="1"/>
    <col min="13" max="14" width="0" hidden="1" customWidth="1"/>
  </cols>
  <sheetData>
    <row r="1" spans="1:14" ht="24" x14ac:dyDescent="0.5">
      <c r="A1" s="48" t="str">
        <f>"第"&amp;設定!$B$2&amp;"回 キャロットステークス"</f>
        <v>第40回 キャロットステークス</v>
      </c>
    </row>
    <row r="2" spans="1:14" x14ac:dyDescent="0.4">
      <c r="A2" s="399" t="s">
        <v>84</v>
      </c>
      <c r="B2" s="340"/>
      <c r="C2" s="340"/>
      <c r="D2" s="340"/>
      <c r="E2" s="340"/>
      <c r="F2" s="340"/>
      <c r="G2" s="340"/>
      <c r="H2" s="340"/>
      <c r="I2" s="340"/>
      <c r="J2" s="340"/>
      <c r="K2" s="340"/>
      <c r="M2" s="99" t="s">
        <v>81</v>
      </c>
      <c r="N2" s="99">
        <f>COUNTA($B$7:$B$11)</f>
        <v>0</v>
      </c>
    </row>
    <row r="3" spans="1:14" ht="24" customHeight="1" x14ac:dyDescent="0.4">
      <c r="A3" s="394" t="str">
        <f>"団体名：" &amp; 団体登録!B6</f>
        <v>団体名：</v>
      </c>
      <c r="B3" s="395"/>
      <c r="C3" s="395"/>
      <c r="D3" s="395"/>
      <c r="E3" s="395"/>
      <c r="F3" s="34"/>
      <c r="G3" s="133"/>
      <c r="H3" s="133"/>
      <c r="I3" t="str">
        <f>"宿泊者数："&amp;IF(N2&lt;&gt;0,N2, "    ")&amp;"名   合計宿泊数："&amp;IF(N3&lt;&gt;0,N3,"    ")&amp;"泊"</f>
        <v>宿泊者数：    名   合計宿泊数：    泊</v>
      </c>
      <c r="M3" s="99" t="s">
        <v>82</v>
      </c>
      <c r="N3" s="99">
        <f>COUNTA($F$7:$J$11)</f>
        <v>0</v>
      </c>
    </row>
    <row r="4" spans="1:14" ht="8.25" customHeight="1" thickBot="1" x14ac:dyDescent="0.45"/>
    <row r="5" spans="1:14" x14ac:dyDescent="0.4">
      <c r="A5" s="31"/>
      <c r="B5" s="403" t="s">
        <v>78</v>
      </c>
      <c r="C5" s="404"/>
      <c r="D5" s="404"/>
      <c r="E5" s="405"/>
      <c r="F5" s="403" t="s">
        <v>72</v>
      </c>
      <c r="G5" s="404"/>
      <c r="H5" s="404"/>
      <c r="I5" s="404"/>
      <c r="J5" s="405"/>
      <c r="K5" s="406" t="s">
        <v>29</v>
      </c>
    </row>
    <row r="6" spans="1:14" x14ac:dyDescent="0.4">
      <c r="A6" s="15"/>
      <c r="B6" s="41" t="s">
        <v>76</v>
      </c>
      <c r="C6" s="42" t="s">
        <v>77</v>
      </c>
      <c r="D6" s="42" t="s">
        <v>74</v>
      </c>
      <c r="E6" s="43" t="s">
        <v>75</v>
      </c>
      <c r="F6" s="94" t="s">
        <v>80</v>
      </c>
      <c r="G6" s="44" t="s">
        <v>1</v>
      </c>
      <c r="H6" s="44" t="s">
        <v>73</v>
      </c>
      <c r="I6" s="95" t="s">
        <v>79</v>
      </c>
      <c r="J6" s="96" t="s">
        <v>79</v>
      </c>
      <c r="K6" s="407"/>
    </row>
    <row r="7" spans="1:14" ht="27" customHeight="1" x14ac:dyDescent="0.4">
      <c r="A7" s="15">
        <v>1</v>
      </c>
      <c r="B7" s="84"/>
      <c r="C7" s="85"/>
      <c r="D7" s="86"/>
      <c r="E7" s="87"/>
      <c r="F7" s="88"/>
      <c r="G7" s="86"/>
      <c r="H7" s="86"/>
      <c r="I7" s="86"/>
      <c r="J7" s="87"/>
      <c r="K7" s="97"/>
    </row>
    <row r="8" spans="1:14" ht="27" customHeight="1" x14ac:dyDescent="0.4">
      <c r="A8" s="15">
        <v>2</v>
      </c>
      <c r="B8" s="84"/>
      <c r="C8" s="85"/>
      <c r="D8" s="86"/>
      <c r="E8" s="87"/>
      <c r="F8" s="88"/>
      <c r="G8" s="86"/>
      <c r="H8" s="86"/>
      <c r="I8" s="86"/>
      <c r="J8" s="87"/>
      <c r="K8" s="97"/>
    </row>
    <row r="9" spans="1:14" ht="27" customHeight="1" x14ac:dyDescent="0.4">
      <c r="A9" s="15">
        <v>3</v>
      </c>
      <c r="B9" s="84"/>
      <c r="C9" s="85"/>
      <c r="D9" s="86"/>
      <c r="E9" s="87"/>
      <c r="F9" s="88"/>
      <c r="G9" s="86"/>
      <c r="H9" s="86"/>
      <c r="I9" s="86"/>
      <c r="J9" s="87"/>
      <c r="K9" s="97"/>
    </row>
    <row r="10" spans="1:14" ht="27" customHeight="1" x14ac:dyDescent="0.4">
      <c r="A10" s="15">
        <v>4</v>
      </c>
      <c r="B10" s="84"/>
      <c r="C10" s="85"/>
      <c r="D10" s="86"/>
      <c r="E10" s="87"/>
      <c r="F10" s="88"/>
      <c r="G10" s="86"/>
      <c r="H10" s="86"/>
      <c r="I10" s="86"/>
      <c r="J10" s="87"/>
      <c r="K10" s="97"/>
    </row>
    <row r="11" spans="1:14" ht="27" customHeight="1" thickBot="1" x14ac:dyDescent="0.45">
      <c r="A11" s="16">
        <v>5</v>
      </c>
      <c r="B11" s="89"/>
      <c r="C11" s="90"/>
      <c r="D11" s="91"/>
      <c r="E11" s="92"/>
      <c r="F11" s="93"/>
      <c r="G11" s="91"/>
      <c r="H11" s="91"/>
      <c r="I11" s="91"/>
      <c r="J11" s="92"/>
      <c r="K11" s="98"/>
    </row>
    <row r="13" spans="1:14" x14ac:dyDescent="0.4">
      <c r="B13" t="s">
        <v>92</v>
      </c>
      <c r="C13" t="s">
        <v>294</v>
      </c>
      <c r="G13" t="s">
        <v>91</v>
      </c>
      <c r="H13" s="400" t="s">
        <v>85</v>
      </c>
      <c r="I13" s="401"/>
      <c r="J13" s="401"/>
      <c r="K13" s="401"/>
    </row>
    <row r="14" spans="1:14" x14ac:dyDescent="0.4">
      <c r="B14" t="s">
        <v>93</v>
      </c>
      <c r="C14" t="str">
        <f>"１泊 "&amp;設定!B16&amp;"円(素泊り)"</f>
        <v>１泊 1100円(素泊り)</v>
      </c>
      <c r="H14" s="400" t="s">
        <v>86</v>
      </c>
      <c r="I14" s="401"/>
      <c r="J14" s="401"/>
      <c r="K14" s="401"/>
    </row>
    <row r="15" spans="1:14" x14ac:dyDescent="0.4">
      <c r="C15" t="s">
        <v>96</v>
      </c>
      <c r="H15" s="402" t="s">
        <v>94</v>
      </c>
      <c r="I15" s="401"/>
      <c r="J15" s="401"/>
      <c r="K15" s="401"/>
    </row>
    <row r="16" spans="1:14" x14ac:dyDescent="0.4">
      <c r="H16" s="400" t="s">
        <v>95</v>
      </c>
      <c r="I16" s="401"/>
      <c r="J16" s="401"/>
      <c r="K16" s="401"/>
    </row>
    <row r="17" spans="8:11" x14ac:dyDescent="0.4">
      <c r="H17" s="400" t="s">
        <v>87</v>
      </c>
      <c r="I17" s="401"/>
      <c r="J17" s="401"/>
      <c r="K17" s="401"/>
    </row>
    <row r="18" spans="8:11" x14ac:dyDescent="0.4">
      <c r="H18" s="400" t="s">
        <v>88</v>
      </c>
      <c r="I18" s="401"/>
      <c r="J18" s="401"/>
      <c r="K18" s="401"/>
    </row>
    <row r="19" spans="8:11" x14ac:dyDescent="0.4">
      <c r="H19" s="400" t="s">
        <v>89</v>
      </c>
      <c r="I19" s="401"/>
      <c r="J19" s="401"/>
      <c r="K19" s="401"/>
    </row>
    <row r="20" spans="8:11" x14ac:dyDescent="0.4">
      <c r="H20" s="400" t="s">
        <v>90</v>
      </c>
      <c r="I20" s="401"/>
      <c r="J20" s="401"/>
      <c r="K20" s="401"/>
    </row>
    <row r="21" spans="8:11" x14ac:dyDescent="0.4">
      <c r="H21" s="340" t="s">
        <v>97</v>
      </c>
      <c r="I21" s="340"/>
      <c r="J21" s="340"/>
      <c r="K21" s="340"/>
    </row>
  </sheetData>
  <sheetProtection algorithmName="SHA-512" hashValue="j/kuiybyHo8MKn69PsB1PYQ2UmfUwqDLI2IFRqRpi67e60wglASgyTg7afjSFi+PMk+8OhFa97kp1aOypSCZJQ==" saltValue="5FIAvETi6R5qfMQLOgUqjA==" spinCount="100000" sheet="1" objects="1" scenarios="1"/>
  <mergeCells count="14">
    <mergeCell ref="A2:K2"/>
    <mergeCell ref="H20:K20"/>
    <mergeCell ref="H21:K21"/>
    <mergeCell ref="H14:K14"/>
    <mergeCell ref="H15:K15"/>
    <mergeCell ref="H16:K16"/>
    <mergeCell ref="H17:K17"/>
    <mergeCell ref="H18:K18"/>
    <mergeCell ref="H19:K19"/>
    <mergeCell ref="H13:K13"/>
    <mergeCell ref="B5:E5"/>
    <mergeCell ref="F5:J5"/>
    <mergeCell ref="K5:K6"/>
    <mergeCell ref="A3:E3"/>
  </mergeCells>
  <phoneticPr fontId="4"/>
  <dataValidations disablePrompts="1" count="2">
    <dataValidation type="list" allowBlank="1" showInputMessage="1" showErrorMessage="1" sqref="G7:H11" xr:uid="{573C91E5-6C23-4580-93FB-0CB12982C2E6}">
      <formula1>"○,"</formula1>
    </dataValidation>
    <dataValidation type="list" allowBlank="1" showInputMessage="1" sqref="E7:E11" xr:uid="{CDF4AC7A-576F-4BDB-81D9-A65B5B6C28DD}">
      <formula1>"男性,女性,その他"</formula1>
    </dataValidation>
  </dataValidations>
  <printOptions horizontalCentered="1"/>
  <pageMargins left="0.70866141732283472" right="0.70866141732283472" top="0.74803149606299213" bottom="0.74803149606299213" header="0.31496062992125984" footer="0.31496062992125984"/>
  <pageSetup paperSize="9" scale="74"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FB04D-91B6-48A4-B9ED-961C11BF6171}">
  <sheetPr codeName="Sheet13">
    <tabColor rgb="FF0070C0"/>
  </sheetPr>
  <dimension ref="A1:M121"/>
  <sheetViews>
    <sheetView view="pageBreakPreview" zoomScaleNormal="100" zoomScaleSheetLayoutView="100" workbookViewId="0">
      <selection activeCell="B4" sqref="B4:B6"/>
    </sheetView>
  </sheetViews>
  <sheetFormatPr defaultRowHeight="18.75" x14ac:dyDescent="0.4"/>
  <cols>
    <col min="1" max="1" width="4" customWidth="1"/>
    <col min="2" max="2" width="35.625" customWidth="1"/>
    <col min="3" max="3" width="6.875" customWidth="1"/>
    <col min="5" max="5" width="12.25" customWidth="1"/>
    <col min="6" max="7" width="5.625" customWidth="1"/>
    <col min="8" max="8" width="12.75" customWidth="1"/>
    <col min="9" max="9" width="14.25" customWidth="1"/>
    <col min="10" max="10" width="6.875" customWidth="1"/>
    <col min="11" max="11" width="38.75" customWidth="1"/>
    <col min="12" max="12" width="4.625" customWidth="1"/>
    <col min="13" max="13" width="11.75" customWidth="1"/>
  </cols>
  <sheetData>
    <row r="1" spans="1:13" s="101" customFormat="1" ht="24" customHeight="1" x14ac:dyDescent="0.4">
      <c r="A1" s="101" t="s">
        <v>432</v>
      </c>
    </row>
    <row r="2" spans="1:13" ht="27" customHeight="1" x14ac:dyDescent="0.5">
      <c r="A2" s="408" t="s">
        <v>181</v>
      </c>
      <c r="B2" s="408"/>
      <c r="C2" s="408"/>
      <c r="D2" s="408"/>
      <c r="E2" s="408"/>
      <c r="F2" s="408"/>
      <c r="G2" s="408"/>
      <c r="H2" s="408"/>
      <c r="I2" s="408"/>
      <c r="J2" s="408"/>
      <c r="K2" s="408"/>
      <c r="L2" s="408"/>
      <c r="M2" s="409"/>
    </row>
    <row r="3" spans="1:13" ht="37.5" customHeight="1" x14ac:dyDescent="0.4">
      <c r="A3" s="99"/>
      <c r="B3" s="77" t="s">
        <v>46</v>
      </c>
      <c r="C3" s="77" t="s">
        <v>75</v>
      </c>
      <c r="D3" s="77" t="s">
        <v>182</v>
      </c>
      <c r="E3" s="77" t="s">
        <v>183</v>
      </c>
      <c r="F3" s="410" t="s">
        <v>184</v>
      </c>
      <c r="G3" s="411"/>
      <c r="H3" s="100" t="s">
        <v>185</v>
      </c>
      <c r="I3" s="100" t="s">
        <v>186</v>
      </c>
      <c r="J3" s="410" t="s">
        <v>187</v>
      </c>
      <c r="K3" s="412"/>
      <c r="L3" s="412"/>
      <c r="M3" s="411"/>
    </row>
    <row r="4" spans="1:13" ht="15" customHeight="1" x14ac:dyDescent="0.4">
      <c r="A4" s="418">
        <v>1</v>
      </c>
      <c r="B4" s="418" t="str">
        <f ca="1">IF(OFFSET(馬匹登録!$P$7,A4,0)&lt;&gt;"",OFFSET(馬匹登録!$P$7,A4,0),"")</f>
        <v/>
      </c>
      <c r="C4" s="421"/>
      <c r="D4" s="422"/>
      <c r="E4" s="422"/>
      <c r="F4" s="423"/>
      <c r="G4" s="424"/>
      <c r="H4" s="429"/>
      <c r="I4" s="429"/>
      <c r="J4" s="413"/>
      <c r="K4" s="414"/>
      <c r="L4" s="414"/>
      <c r="M4" s="415"/>
    </row>
    <row r="5" spans="1:13" ht="15" customHeight="1" x14ac:dyDescent="0.4">
      <c r="A5" s="419"/>
      <c r="B5" s="419"/>
      <c r="C5" s="419"/>
      <c r="D5" s="419"/>
      <c r="E5" s="419"/>
      <c r="F5" s="425"/>
      <c r="G5" s="426"/>
      <c r="H5" s="430"/>
      <c r="I5" s="430"/>
      <c r="J5" s="432"/>
      <c r="K5" s="433"/>
      <c r="L5" s="433"/>
      <c r="M5" s="434"/>
    </row>
    <row r="6" spans="1:13" ht="15" customHeight="1" x14ac:dyDescent="0.4">
      <c r="A6" s="420"/>
      <c r="B6" s="420"/>
      <c r="C6" s="420"/>
      <c r="D6" s="420"/>
      <c r="E6" s="420"/>
      <c r="F6" s="427"/>
      <c r="G6" s="428"/>
      <c r="H6" s="431"/>
      <c r="I6" s="431"/>
      <c r="J6" s="435"/>
      <c r="K6" s="436"/>
      <c r="L6" s="436"/>
      <c r="M6" s="437"/>
    </row>
    <row r="7" spans="1:13" ht="15" customHeight="1" x14ac:dyDescent="0.4">
      <c r="A7" s="418">
        <v>2</v>
      </c>
      <c r="B7" s="418" t="str">
        <f ca="1">IF(OFFSET(馬匹登録!$P$7,A7,0)&lt;&gt;"",OFFSET(馬匹登録!$P$7,A7,0),"")</f>
        <v/>
      </c>
      <c r="C7" s="421"/>
      <c r="D7" s="422"/>
      <c r="E7" s="422"/>
      <c r="F7" s="423"/>
      <c r="G7" s="424"/>
      <c r="H7" s="429"/>
      <c r="I7" s="429"/>
      <c r="J7" s="413"/>
      <c r="K7" s="414"/>
      <c r="L7" s="414"/>
      <c r="M7" s="415"/>
    </row>
    <row r="8" spans="1:13" ht="15" customHeight="1" x14ac:dyDescent="0.4">
      <c r="A8" s="419"/>
      <c r="B8" s="419"/>
      <c r="C8" s="419"/>
      <c r="D8" s="419"/>
      <c r="E8" s="419"/>
      <c r="F8" s="425"/>
      <c r="G8" s="426"/>
      <c r="H8" s="430"/>
      <c r="I8" s="430"/>
      <c r="J8" s="432"/>
      <c r="K8" s="433"/>
      <c r="L8" s="433"/>
      <c r="M8" s="434"/>
    </row>
    <row r="9" spans="1:13" ht="15" customHeight="1" x14ac:dyDescent="0.4">
      <c r="A9" s="420"/>
      <c r="B9" s="420"/>
      <c r="C9" s="420"/>
      <c r="D9" s="420"/>
      <c r="E9" s="420"/>
      <c r="F9" s="427"/>
      <c r="G9" s="428"/>
      <c r="H9" s="431"/>
      <c r="I9" s="431"/>
      <c r="J9" s="435"/>
      <c r="K9" s="436"/>
      <c r="L9" s="436"/>
      <c r="M9" s="437"/>
    </row>
    <row r="10" spans="1:13" ht="15" customHeight="1" x14ac:dyDescent="0.4">
      <c r="A10" s="418">
        <v>3</v>
      </c>
      <c r="B10" s="418" t="str">
        <f ca="1">IF(OFFSET(馬匹登録!$P$7,A10,0)&lt;&gt;"",OFFSET(馬匹登録!$P$7,A10,0),"")</f>
        <v/>
      </c>
      <c r="C10" s="421"/>
      <c r="D10" s="422"/>
      <c r="E10" s="422"/>
      <c r="F10" s="423"/>
      <c r="G10" s="424"/>
      <c r="H10" s="429"/>
      <c r="I10" s="429"/>
      <c r="J10" s="413"/>
      <c r="K10" s="414"/>
      <c r="L10" s="414"/>
      <c r="M10" s="415"/>
    </row>
    <row r="11" spans="1:13" ht="15" customHeight="1" x14ac:dyDescent="0.4">
      <c r="A11" s="419"/>
      <c r="B11" s="419"/>
      <c r="C11" s="419"/>
      <c r="D11" s="419"/>
      <c r="E11" s="419"/>
      <c r="F11" s="425"/>
      <c r="G11" s="426"/>
      <c r="H11" s="430"/>
      <c r="I11" s="430"/>
      <c r="J11" s="432"/>
      <c r="K11" s="433"/>
      <c r="L11" s="433"/>
      <c r="M11" s="434"/>
    </row>
    <row r="12" spans="1:13" ht="15" customHeight="1" x14ac:dyDescent="0.4">
      <c r="A12" s="420"/>
      <c r="B12" s="420"/>
      <c r="C12" s="420"/>
      <c r="D12" s="420"/>
      <c r="E12" s="420"/>
      <c r="F12" s="427"/>
      <c r="G12" s="428"/>
      <c r="H12" s="431"/>
      <c r="I12" s="431"/>
      <c r="J12" s="435"/>
      <c r="K12" s="436"/>
      <c r="L12" s="436"/>
      <c r="M12" s="437"/>
    </row>
    <row r="13" spans="1:13" ht="15" customHeight="1" x14ac:dyDescent="0.4">
      <c r="A13" s="418">
        <v>4</v>
      </c>
      <c r="B13" s="418" t="str">
        <f ca="1">IF(OFFSET(馬匹登録!$P$7,A13,0)&lt;&gt;"",OFFSET(馬匹登録!$P$7,A13,0),"")</f>
        <v/>
      </c>
      <c r="C13" s="421"/>
      <c r="D13" s="422"/>
      <c r="E13" s="422"/>
      <c r="F13" s="423"/>
      <c r="G13" s="424"/>
      <c r="H13" s="429"/>
      <c r="I13" s="429"/>
      <c r="J13" s="413"/>
      <c r="K13" s="414"/>
      <c r="L13" s="414"/>
      <c r="M13" s="415"/>
    </row>
    <row r="14" spans="1:13" ht="15" customHeight="1" x14ac:dyDescent="0.4">
      <c r="A14" s="419"/>
      <c r="B14" s="419"/>
      <c r="C14" s="419"/>
      <c r="D14" s="419"/>
      <c r="E14" s="419"/>
      <c r="F14" s="425"/>
      <c r="G14" s="426"/>
      <c r="H14" s="430"/>
      <c r="I14" s="430"/>
      <c r="J14" s="432"/>
      <c r="K14" s="433"/>
      <c r="L14" s="433"/>
      <c r="M14" s="434"/>
    </row>
    <row r="15" spans="1:13" ht="15" customHeight="1" x14ac:dyDescent="0.4">
      <c r="A15" s="420"/>
      <c r="B15" s="420"/>
      <c r="C15" s="420"/>
      <c r="D15" s="420"/>
      <c r="E15" s="420"/>
      <c r="F15" s="427"/>
      <c r="G15" s="428"/>
      <c r="H15" s="431"/>
      <c r="I15" s="431"/>
      <c r="J15" s="435"/>
      <c r="K15" s="436"/>
      <c r="L15" s="436"/>
      <c r="M15" s="437"/>
    </row>
    <row r="16" spans="1:13" ht="15" customHeight="1" x14ac:dyDescent="0.4">
      <c r="A16" s="418">
        <v>5</v>
      </c>
      <c r="B16" s="418" t="str">
        <f ca="1">IF(OFFSET(馬匹登録!$P$7,A16,0)&lt;&gt;"",OFFSET(馬匹登録!$P$7,A16,0),"")</f>
        <v/>
      </c>
      <c r="C16" s="421"/>
      <c r="D16" s="422"/>
      <c r="E16" s="422"/>
      <c r="F16" s="423"/>
      <c r="G16" s="424"/>
      <c r="H16" s="429"/>
      <c r="I16" s="429"/>
      <c r="J16" s="413"/>
      <c r="K16" s="414"/>
      <c r="L16" s="414"/>
      <c r="M16" s="415"/>
    </row>
    <row r="17" spans="1:13" ht="15" customHeight="1" x14ac:dyDescent="0.4">
      <c r="A17" s="419"/>
      <c r="B17" s="419"/>
      <c r="C17" s="419"/>
      <c r="D17" s="419"/>
      <c r="E17" s="419"/>
      <c r="F17" s="425"/>
      <c r="G17" s="426"/>
      <c r="H17" s="430"/>
      <c r="I17" s="430"/>
      <c r="J17" s="432"/>
      <c r="K17" s="433"/>
      <c r="L17" s="433"/>
      <c r="M17" s="434"/>
    </row>
    <row r="18" spans="1:13" ht="15" customHeight="1" x14ac:dyDescent="0.4">
      <c r="A18" s="420"/>
      <c r="B18" s="420"/>
      <c r="C18" s="420"/>
      <c r="D18" s="420"/>
      <c r="E18" s="420"/>
      <c r="F18" s="427"/>
      <c r="G18" s="428"/>
      <c r="H18" s="431"/>
      <c r="I18" s="431"/>
      <c r="J18" s="435"/>
      <c r="K18" s="436"/>
      <c r="L18" s="436"/>
      <c r="M18" s="437"/>
    </row>
    <row r="19" spans="1:13" ht="15" customHeight="1" x14ac:dyDescent="0.4">
      <c r="A19" s="418">
        <v>6</v>
      </c>
      <c r="B19" s="418" t="str">
        <f ca="1">IF(OFFSET(馬匹登録!$P$7,A19,0)&lt;&gt;"",OFFSET(馬匹登録!$P$7,A19,0),"")</f>
        <v/>
      </c>
      <c r="C19" s="421"/>
      <c r="D19" s="422"/>
      <c r="E19" s="422"/>
      <c r="F19" s="423"/>
      <c r="G19" s="424"/>
      <c r="H19" s="429"/>
      <c r="I19" s="429"/>
      <c r="J19" s="413"/>
      <c r="K19" s="414"/>
      <c r="L19" s="414"/>
      <c r="M19" s="415"/>
    </row>
    <row r="20" spans="1:13" ht="15" customHeight="1" x14ac:dyDescent="0.4">
      <c r="A20" s="419"/>
      <c r="B20" s="419"/>
      <c r="C20" s="419"/>
      <c r="D20" s="419"/>
      <c r="E20" s="419"/>
      <c r="F20" s="425"/>
      <c r="G20" s="426"/>
      <c r="H20" s="430"/>
      <c r="I20" s="430"/>
      <c r="J20" s="432"/>
      <c r="K20" s="433"/>
      <c r="L20" s="433"/>
      <c r="M20" s="434"/>
    </row>
    <row r="21" spans="1:13" ht="15" customHeight="1" x14ac:dyDescent="0.4">
      <c r="A21" s="420"/>
      <c r="B21" s="420"/>
      <c r="C21" s="420"/>
      <c r="D21" s="420"/>
      <c r="E21" s="420"/>
      <c r="F21" s="427"/>
      <c r="G21" s="428"/>
      <c r="H21" s="431"/>
      <c r="I21" s="431"/>
      <c r="J21" s="435"/>
      <c r="K21" s="436"/>
      <c r="L21" s="436"/>
      <c r="M21" s="437"/>
    </row>
    <row r="22" spans="1:13" ht="15" customHeight="1" x14ac:dyDescent="0.4">
      <c r="A22" s="418">
        <v>7</v>
      </c>
      <c r="B22" s="418" t="str">
        <f ca="1">IF(OFFSET(馬匹登録!$P$7,A22,0)&lt;&gt;"",OFFSET(馬匹登録!$P$7,A22,0),"")</f>
        <v/>
      </c>
      <c r="C22" s="421"/>
      <c r="D22" s="422"/>
      <c r="E22" s="422"/>
      <c r="F22" s="423"/>
      <c r="G22" s="424"/>
      <c r="H22" s="429"/>
      <c r="I22" s="429"/>
      <c r="J22" s="413"/>
      <c r="K22" s="414"/>
      <c r="L22" s="414"/>
      <c r="M22" s="415"/>
    </row>
    <row r="23" spans="1:13" ht="15" customHeight="1" x14ac:dyDescent="0.4">
      <c r="A23" s="419"/>
      <c r="B23" s="419"/>
      <c r="C23" s="419"/>
      <c r="D23" s="419"/>
      <c r="E23" s="419"/>
      <c r="F23" s="425"/>
      <c r="G23" s="426"/>
      <c r="H23" s="430"/>
      <c r="I23" s="430"/>
      <c r="J23" s="432"/>
      <c r="K23" s="433"/>
      <c r="L23" s="433"/>
      <c r="M23" s="434"/>
    </row>
    <row r="24" spans="1:13" ht="15" customHeight="1" x14ac:dyDescent="0.4">
      <c r="A24" s="420"/>
      <c r="B24" s="420"/>
      <c r="C24" s="420"/>
      <c r="D24" s="420"/>
      <c r="E24" s="420"/>
      <c r="F24" s="427"/>
      <c r="G24" s="428"/>
      <c r="H24" s="431"/>
      <c r="I24" s="431"/>
      <c r="J24" s="435"/>
      <c r="K24" s="436"/>
      <c r="L24" s="436"/>
      <c r="M24" s="437"/>
    </row>
    <row r="25" spans="1:13" ht="15" customHeight="1" x14ac:dyDescent="0.4">
      <c r="A25" s="418">
        <v>8</v>
      </c>
      <c r="B25" s="418" t="str">
        <f ca="1">IF(OFFSET(馬匹登録!$P$7,A25,0)&lt;&gt;"",OFFSET(馬匹登録!$P$7,A25,0),"")</f>
        <v/>
      </c>
      <c r="C25" s="421"/>
      <c r="D25" s="422"/>
      <c r="E25" s="422"/>
      <c r="F25" s="423"/>
      <c r="G25" s="424"/>
      <c r="H25" s="429"/>
      <c r="I25" s="429"/>
      <c r="J25" s="413"/>
      <c r="K25" s="414"/>
      <c r="L25" s="414"/>
      <c r="M25" s="415"/>
    </row>
    <row r="26" spans="1:13" ht="15" customHeight="1" x14ac:dyDescent="0.4">
      <c r="A26" s="419"/>
      <c r="B26" s="419"/>
      <c r="C26" s="419"/>
      <c r="D26" s="419"/>
      <c r="E26" s="419"/>
      <c r="F26" s="425"/>
      <c r="G26" s="426"/>
      <c r="H26" s="430"/>
      <c r="I26" s="430"/>
      <c r="J26" s="432"/>
      <c r="K26" s="433"/>
      <c r="L26" s="433"/>
      <c r="M26" s="434"/>
    </row>
    <row r="27" spans="1:13" ht="15" customHeight="1" x14ac:dyDescent="0.4">
      <c r="A27" s="420"/>
      <c r="B27" s="420"/>
      <c r="C27" s="420"/>
      <c r="D27" s="420"/>
      <c r="E27" s="420"/>
      <c r="F27" s="427"/>
      <c r="G27" s="428"/>
      <c r="H27" s="431"/>
      <c r="I27" s="431"/>
      <c r="J27" s="435"/>
      <c r="K27" s="436"/>
      <c r="L27" s="436"/>
      <c r="M27" s="437"/>
    </row>
    <row r="28" spans="1:13" ht="15" customHeight="1" x14ac:dyDescent="0.4">
      <c r="A28" s="418">
        <v>9</v>
      </c>
      <c r="B28" s="418" t="str">
        <f ca="1">IF(OFFSET(馬匹登録!$P$7,A28,0)&lt;&gt;"",OFFSET(馬匹登録!$P$7,A28,0),"")</f>
        <v/>
      </c>
      <c r="C28" s="421"/>
      <c r="D28" s="422"/>
      <c r="E28" s="422"/>
      <c r="F28" s="423"/>
      <c r="G28" s="424"/>
      <c r="H28" s="429"/>
      <c r="I28" s="429"/>
      <c r="J28" s="413"/>
      <c r="K28" s="414"/>
      <c r="L28" s="414"/>
      <c r="M28" s="415"/>
    </row>
    <row r="29" spans="1:13" ht="15" customHeight="1" x14ac:dyDescent="0.4">
      <c r="A29" s="419"/>
      <c r="B29" s="419"/>
      <c r="C29" s="419"/>
      <c r="D29" s="419"/>
      <c r="E29" s="419"/>
      <c r="F29" s="425"/>
      <c r="G29" s="426"/>
      <c r="H29" s="430"/>
      <c r="I29" s="430"/>
      <c r="J29" s="432"/>
      <c r="K29" s="433"/>
      <c r="L29" s="433"/>
      <c r="M29" s="434"/>
    </row>
    <row r="30" spans="1:13" ht="15" customHeight="1" x14ac:dyDescent="0.4">
      <c r="A30" s="420"/>
      <c r="B30" s="420"/>
      <c r="C30" s="420"/>
      <c r="D30" s="420"/>
      <c r="E30" s="420"/>
      <c r="F30" s="427"/>
      <c r="G30" s="428"/>
      <c r="H30" s="431"/>
      <c r="I30" s="431"/>
      <c r="J30" s="435"/>
      <c r="K30" s="436"/>
      <c r="L30" s="436"/>
      <c r="M30" s="437"/>
    </row>
    <row r="31" spans="1:13" ht="15" customHeight="1" x14ac:dyDescent="0.4">
      <c r="A31" s="418">
        <v>10</v>
      </c>
      <c r="B31" s="418" t="str">
        <f ca="1">IF(OFFSET(馬匹登録!$P$7,A31,0)&lt;&gt;"",OFFSET(馬匹登録!$P$7,A31,0),"")</f>
        <v/>
      </c>
      <c r="C31" s="421"/>
      <c r="D31" s="422"/>
      <c r="E31" s="422"/>
      <c r="F31" s="423"/>
      <c r="G31" s="424"/>
      <c r="H31" s="429"/>
      <c r="I31" s="429"/>
      <c r="J31" s="413"/>
      <c r="K31" s="414"/>
      <c r="L31" s="414"/>
      <c r="M31" s="415"/>
    </row>
    <row r="32" spans="1:13" ht="15" customHeight="1" x14ac:dyDescent="0.4">
      <c r="A32" s="419"/>
      <c r="B32" s="419"/>
      <c r="C32" s="419"/>
      <c r="D32" s="419"/>
      <c r="E32" s="419"/>
      <c r="F32" s="425"/>
      <c r="G32" s="426"/>
      <c r="H32" s="430"/>
      <c r="I32" s="430"/>
      <c r="J32" s="432"/>
      <c r="K32" s="433"/>
      <c r="L32" s="433"/>
      <c r="M32" s="434"/>
    </row>
    <row r="33" spans="1:13" ht="15" customHeight="1" x14ac:dyDescent="0.4">
      <c r="A33" s="420"/>
      <c r="B33" s="420"/>
      <c r="C33" s="420"/>
      <c r="D33" s="420"/>
      <c r="E33" s="420"/>
      <c r="F33" s="427"/>
      <c r="G33" s="428"/>
      <c r="H33" s="431"/>
      <c r="I33" s="431"/>
      <c r="J33" s="435"/>
      <c r="K33" s="436"/>
      <c r="L33" s="436"/>
      <c r="M33" s="437"/>
    </row>
    <row r="34" spans="1:13" ht="21" customHeight="1" x14ac:dyDescent="0.4">
      <c r="D34" s="1" t="s">
        <v>188</v>
      </c>
      <c r="E34" s="106">
        <v>2019</v>
      </c>
      <c r="F34" s="109" t="s">
        <v>198</v>
      </c>
      <c r="G34" s="107" t="s">
        <v>197</v>
      </c>
      <c r="H34" s="1" t="s">
        <v>431</v>
      </c>
      <c r="I34" s="108" t="s">
        <v>190</v>
      </c>
    </row>
    <row r="35" spans="1:13" ht="21" customHeight="1" x14ac:dyDescent="0.4">
      <c r="D35" s="1" t="s">
        <v>191</v>
      </c>
      <c r="E35" s="106">
        <v>2019</v>
      </c>
      <c r="F35" s="109" t="s">
        <v>198</v>
      </c>
      <c r="G35" s="107" t="s">
        <v>197</v>
      </c>
      <c r="H35" s="1" t="s">
        <v>189</v>
      </c>
      <c r="I35" s="108" t="s">
        <v>190</v>
      </c>
    </row>
    <row r="36" spans="1:13" ht="6" customHeight="1" x14ac:dyDescent="0.4">
      <c r="F36" s="78"/>
    </row>
    <row r="37" spans="1:13" ht="24" customHeight="1" x14ac:dyDescent="0.4">
      <c r="B37" s="104" t="s">
        <v>192</v>
      </c>
      <c r="J37" s="102" t="s">
        <v>30</v>
      </c>
      <c r="K37" s="376" t="str">
        <f>IF(団体登録!$B$6&lt;&gt;"",団体登録!$B$6,"")</f>
        <v/>
      </c>
      <c r="L37" s="376"/>
    </row>
    <row r="38" spans="1:13" ht="24" customHeight="1" x14ac:dyDescent="0.4">
      <c r="J38" s="103" t="s">
        <v>33</v>
      </c>
      <c r="K38" s="103" t="str">
        <f>IF(団体登録!$B$11&lt;&gt;"",団体登録!$B$11,"")</f>
        <v/>
      </c>
      <c r="L38" s="105" t="s">
        <v>196</v>
      </c>
    </row>
    <row r="39" spans="1:13" ht="24" customHeight="1" x14ac:dyDescent="0.4">
      <c r="J39" s="103" t="s">
        <v>193</v>
      </c>
      <c r="K39" s="416" t="str">
        <f>IF(団体登録!$B$8&lt;&gt;"",団体登録!$B$8&amp;" "&amp;団体登録!$B$9,"")</f>
        <v/>
      </c>
      <c r="L39" s="416"/>
    </row>
    <row r="40" spans="1:13" ht="24" customHeight="1" x14ac:dyDescent="0.4">
      <c r="J40" s="103" t="s">
        <v>194</v>
      </c>
      <c r="K40" s="416" t="str">
        <f>IF(団体登録!$B$10&lt;&gt;"",団体登録!$B$10,"")</f>
        <v/>
      </c>
      <c r="L40" s="416"/>
    </row>
    <row r="41" spans="1:13" ht="24.75" customHeight="1" x14ac:dyDescent="0.4">
      <c r="J41" s="103" t="s">
        <v>195</v>
      </c>
      <c r="K41" s="417"/>
      <c r="L41" s="417"/>
    </row>
    <row r="42" spans="1:13" ht="27" customHeight="1" x14ac:dyDescent="0.5">
      <c r="A42" s="408" t="s">
        <v>181</v>
      </c>
      <c r="B42" s="408"/>
      <c r="C42" s="408"/>
      <c r="D42" s="408"/>
      <c r="E42" s="408"/>
      <c r="F42" s="408"/>
      <c r="G42" s="408"/>
      <c r="H42" s="408"/>
      <c r="I42" s="408"/>
      <c r="J42" s="408"/>
      <c r="K42" s="408"/>
      <c r="L42" s="408"/>
      <c r="M42" s="409"/>
    </row>
    <row r="43" spans="1:13" ht="37.5" customHeight="1" x14ac:dyDescent="0.4">
      <c r="A43" s="99"/>
      <c r="B43" s="77" t="s">
        <v>46</v>
      </c>
      <c r="C43" s="77" t="s">
        <v>75</v>
      </c>
      <c r="D43" s="77" t="s">
        <v>182</v>
      </c>
      <c r="E43" s="77" t="s">
        <v>183</v>
      </c>
      <c r="F43" s="410" t="s">
        <v>184</v>
      </c>
      <c r="G43" s="411"/>
      <c r="H43" s="100" t="s">
        <v>185</v>
      </c>
      <c r="I43" s="100" t="s">
        <v>186</v>
      </c>
      <c r="J43" s="410" t="s">
        <v>187</v>
      </c>
      <c r="K43" s="412"/>
      <c r="L43" s="412"/>
      <c r="M43" s="411"/>
    </row>
    <row r="44" spans="1:13" ht="15" customHeight="1" x14ac:dyDescent="0.4">
      <c r="A44" s="418">
        <v>11</v>
      </c>
      <c r="B44" s="418" t="str">
        <f ca="1">IF(OFFSET(馬匹登録!$P$7,A44,0)&lt;&gt;"",OFFSET(馬匹登録!$P$7,A44,0),"")</f>
        <v/>
      </c>
      <c r="C44" s="421"/>
      <c r="D44" s="422"/>
      <c r="E44" s="422"/>
      <c r="F44" s="423"/>
      <c r="G44" s="424"/>
      <c r="H44" s="429"/>
      <c r="I44" s="429"/>
      <c r="J44" s="413"/>
      <c r="K44" s="414"/>
      <c r="L44" s="414"/>
      <c r="M44" s="415"/>
    </row>
    <row r="45" spans="1:13" ht="15" customHeight="1" x14ac:dyDescent="0.4">
      <c r="A45" s="419"/>
      <c r="B45" s="419"/>
      <c r="C45" s="419"/>
      <c r="D45" s="419"/>
      <c r="E45" s="419"/>
      <c r="F45" s="425"/>
      <c r="G45" s="426"/>
      <c r="H45" s="430"/>
      <c r="I45" s="430"/>
      <c r="J45" s="432"/>
      <c r="K45" s="433"/>
      <c r="L45" s="433"/>
      <c r="M45" s="434"/>
    </row>
    <row r="46" spans="1:13" ht="15" customHeight="1" x14ac:dyDescent="0.4">
      <c r="A46" s="420"/>
      <c r="B46" s="420"/>
      <c r="C46" s="420"/>
      <c r="D46" s="420"/>
      <c r="E46" s="420"/>
      <c r="F46" s="427"/>
      <c r="G46" s="428"/>
      <c r="H46" s="431"/>
      <c r="I46" s="431"/>
      <c r="J46" s="435"/>
      <c r="K46" s="436"/>
      <c r="L46" s="436"/>
      <c r="M46" s="437"/>
    </row>
    <row r="47" spans="1:13" ht="15" customHeight="1" x14ac:dyDescent="0.4">
      <c r="A47" s="418">
        <v>12</v>
      </c>
      <c r="B47" s="418" t="str">
        <f ca="1">IF(OFFSET(馬匹登録!$P$7,A47,0)&lt;&gt;"",OFFSET(馬匹登録!$P$7,A47,0),"")</f>
        <v/>
      </c>
      <c r="C47" s="421"/>
      <c r="D47" s="422"/>
      <c r="E47" s="422"/>
      <c r="F47" s="423"/>
      <c r="G47" s="424"/>
      <c r="H47" s="429"/>
      <c r="I47" s="429"/>
      <c r="J47" s="413"/>
      <c r="K47" s="414"/>
      <c r="L47" s="414"/>
      <c r="M47" s="415"/>
    </row>
    <row r="48" spans="1:13" ht="15" customHeight="1" x14ac:dyDescent="0.4">
      <c r="A48" s="419"/>
      <c r="B48" s="419"/>
      <c r="C48" s="419"/>
      <c r="D48" s="419"/>
      <c r="E48" s="419"/>
      <c r="F48" s="425"/>
      <c r="G48" s="426"/>
      <c r="H48" s="430"/>
      <c r="I48" s="430"/>
      <c r="J48" s="432"/>
      <c r="K48" s="433"/>
      <c r="L48" s="433"/>
      <c r="M48" s="434"/>
    </row>
    <row r="49" spans="1:13" ht="15" customHeight="1" x14ac:dyDescent="0.4">
      <c r="A49" s="420"/>
      <c r="B49" s="420"/>
      <c r="C49" s="420"/>
      <c r="D49" s="420"/>
      <c r="E49" s="420"/>
      <c r="F49" s="427"/>
      <c r="G49" s="428"/>
      <c r="H49" s="431"/>
      <c r="I49" s="431"/>
      <c r="J49" s="435"/>
      <c r="K49" s="436"/>
      <c r="L49" s="436"/>
      <c r="M49" s="437"/>
    </row>
    <row r="50" spans="1:13" ht="15" customHeight="1" x14ac:dyDescent="0.4">
      <c r="A50" s="418">
        <v>13</v>
      </c>
      <c r="B50" s="418" t="str">
        <f ca="1">IF(OFFSET(馬匹登録!$P$7,A50,0)&lt;&gt;"",OFFSET(馬匹登録!$P$7,A50,0),"")</f>
        <v/>
      </c>
      <c r="C50" s="421"/>
      <c r="D50" s="422"/>
      <c r="E50" s="422"/>
      <c r="F50" s="423"/>
      <c r="G50" s="424"/>
      <c r="H50" s="429"/>
      <c r="I50" s="429"/>
      <c r="J50" s="413"/>
      <c r="K50" s="414"/>
      <c r="L50" s="414"/>
      <c r="M50" s="415"/>
    </row>
    <row r="51" spans="1:13" ht="15" customHeight="1" x14ac:dyDescent="0.4">
      <c r="A51" s="419"/>
      <c r="B51" s="419"/>
      <c r="C51" s="419"/>
      <c r="D51" s="419"/>
      <c r="E51" s="419"/>
      <c r="F51" s="425"/>
      <c r="G51" s="426"/>
      <c r="H51" s="430"/>
      <c r="I51" s="430"/>
      <c r="J51" s="432"/>
      <c r="K51" s="433"/>
      <c r="L51" s="433"/>
      <c r="M51" s="434"/>
    </row>
    <row r="52" spans="1:13" ht="15" customHeight="1" x14ac:dyDescent="0.4">
      <c r="A52" s="420"/>
      <c r="B52" s="420"/>
      <c r="C52" s="420"/>
      <c r="D52" s="420"/>
      <c r="E52" s="420"/>
      <c r="F52" s="427"/>
      <c r="G52" s="428"/>
      <c r="H52" s="431"/>
      <c r="I52" s="431"/>
      <c r="J52" s="435"/>
      <c r="K52" s="436"/>
      <c r="L52" s="436"/>
      <c r="M52" s="437"/>
    </row>
    <row r="53" spans="1:13" ht="15" customHeight="1" x14ac:dyDescent="0.4">
      <c r="A53" s="418">
        <v>14</v>
      </c>
      <c r="B53" s="418" t="str">
        <f ca="1">IF(OFFSET(馬匹登録!$P$7,A53,0)&lt;&gt;"",OFFSET(馬匹登録!$P$7,A53,0),"")</f>
        <v/>
      </c>
      <c r="C53" s="421"/>
      <c r="D53" s="422"/>
      <c r="E53" s="422"/>
      <c r="F53" s="423"/>
      <c r="G53" s="424"/>
      <c r="H53" s="429"/>
      <c r="I53" s="429"/>
      <c r="J53" s="413"/>
      <c r="K53" s="414"/>
      <c r="L53" s="414"/>
      <c r="M53" s="415"/>
    </row>
    <row r="54" spans="1:13" ht="15" customHeight="1" x14ac:dyDescent="0.4">
      <c r="A54" s="419"/>
      <c r="B54" s="419"/>
      <c r="C54" s="419"/>
      <c r="D54" s="419"/>
      <c r="E54" s="419"/>
      <c r="F54" s="425"/>
      <c r="G54" s="426"/>
      <c r="H54" s="430"/>
      <c r="I54" s="430"/>
      <c r="J54" s="432"/>
      <c r="K54" s="433"/>
      <c r="L54" s="433"/>
      <c r="M54" s="434"/>
    </row>
    <row r="55" spans="1:13" ht="15" customHeight="1" x14ac:dyDescent="0.4">
      <c r="A55" s="420"/>
      <c r="B55" s="420"/>
      <c r="C55" s="420"/>
      <c r="D55" s="420"/>
      <c r="E55" s="420"/>
      <c r="F55" s="427"/>
      <c r="G55" s="428"/>
      <c r="H55" s="431"/>
      <c r="I55" s="431"/>
      <c r="J55" s="435"/>
      <c r="K55" s="436"/>
      <c r="L55" s="436"/>
      <c r="M55" s="437"/>
    </row>
    <row r="56" spans="1:13" ht="15" customHeight="1" x14ac:dyDescent="0.4">
      <c r="A56" s="418">
        <v>15</v>
      </c>
      <c r="B56" s="418" t="str">
        <f ca="1">IF(OFFSET(馬匹登録!$P$7,A56,0)&lt;&gt;"",OFFSET(馬匹登録!$P$7,A56,0),"")</f>
        <v/>
      </c>
      <c r="C56" s="421"/>
      <c r="D56" s="422"/>
      <c r="E56" s="422"/>
      <c r="F56" s="423"/>
      <c r="G56" s="424"/>
      <c r="H56" s="429"/>
      <c r="I56" s="429"/>
      <c r="J56" s="413"/>
      <c r="K56" s="414"/>
      <c r="L56" s="414"/>
      <c r="M56" s="415"/>
    </row>
    <row r="57" spans="1:13" ht="15" customHeight="1" x14ac:dyDescent="0.4">
      <c r="A57" s="419"/>
      <c r="B57" s="419"/>
      <c r="C57" s="419"/>
      <c r="D57" s="419"/>
      <c r="E57" s="419"/>
      <c r="F57" s="425"/>
      <c r="G57" s="426"/>
      <c r="H57" s="430"/>
      <c r="I57" s="430"/>
      <c r="J57" s="432"/>
      <c r="K57" s="433"/>
      <c r="L57" s="433"/>
      <c r="M57" s="434"/>
    </row>
    <row r="58" spans="1:13" ht="15" customHeight="1" x14ac:dyDescent="0.4">
      <c r="A58" s="420"/>
      <c r="B58" s="420"/>
      <c r="C58" s="420"/>
      <c r="D58" s="420"/>
      <c r="E58" s="420"/>
      <c r="F58" s="427"/>
      <c r="G58" s="428"/>
      <c r="H58" s="431"/>
      <c r="I58" s="431"/>
      <c r="J58" s="435"/>
      <c r="K58" s="436"/>
      <c r="L58" s="436"/>
      <c r="M58" s="437"/>
    </row>
    <row r="59" spans="1:13" ht="15" customHeight="1" x14ac:dyDescent="0.4">
      <c r="A59" s="418">
        <v>16</v>
      </c>
      <c r="B59" s="418" t="str">
        <f ca="1">IF(OFFSET(馬匹登録!$P$7,A59,0)&lt;&gt;"",OFFSET(馬匹登録!$P$7,A59,0),"")</f>
        <v/>
      </c>
      <c r="C59" s="421"/>
      <c r="D59" s="422"/>
      <c r="E59" s="422"/>
      <c r="F59" s="423"/>
      <c r="G59" s="424"/>
      <c r="H59" s="429"/>
      <c r="I59" s="429"/>
      <c r="J59" s="413"/>
      <c r="K59" s="414"/>
      <c r="L59" s="414"/>
      <c r="M59" s="415"/>
    </row>
    <row r="60" spans="1:13" ht="15" customHeight="1" x14ac:dyDescent="0.4">
      <c r="A60" s="419"/>
      <c r="B60" s="419"/>
      <c r="C60" s="419"/>
      <c r="D60" s="419"/>
      <c r="E60" s="419"/>
      <c r="F60" s="425"/>
      <c r="G60" s="426"/>
      <c r="H60" s="430"/>
      <c r="I60" s="430"/>
      <c r="J60" s="432"/>
      <c r="K60" s="433"/>
      <c r="L60" s="433"/>
      <c r="M60" s="434"/>
    </row>
    <row r="61" spans="1:13" ht="15" customHeight="1" x14ac:dyDescent="0.4">
      <c r="A61" s="420"/>
      <c r="B61" s="420"/>
      <c r="C61" s="420"/>
      <c r="D61" s="420"/>
      <c r="E61" s="420"/>
      <c r="F61" s="427"/>
      <c r="G61" s="428"/>
      <c r="H61" s="431"/>
      <c r="I61" s="431"/>
      <c r="J61" s="435"/>
      <c r="K61" s="436"/>
      <c r="L61" s="436"/>
      <c r="M61" s="437"/>
    </row>
    <row r="62" spans="1:13" ht="15" customHeight="1" x14ac:dyDescent="0.4">
      <c r="A62" s="418">
        <v>17</v>
      </c>
      <c r="B62" s="418" t="str">
        <f ca="1">IF(OFFSET(馬匹登録!$P$7,A62,0)&lt;&gt;"",OFFSET(馬匹登録!$P$7,A62,0),"")</f>
        <v/>
      </c>
      <c r="C62" s="421"/>
      <c r="D62" s="422"/>
      <c r="E62" s="422"/>
      <c r="F62" s="423"/>
      <c r="G62" s="424"/>
      <c r="H62" s="429"/>
      <c r="I62" s="429"/>
      <c r="J62" s="413"/>
      <c r="K62" s="414"/>
      <c r="L62" s="414"/>
      <c r="M62" s="415"/>
    </row>
    <row r="63" spans="1:13" ht="15" customHeight="1" x14ac:dyDescent="0.4">
      <c r="A63" s="419"/>
      <c r="B63" s="419"/>
      <c r="C63" s="419"/>
      <c r="D63" s="419"/>
      <c r="E63" s="419"/>
      <c r="F63" s="425"/>
      <c r="G63" s="426"/>
      <c r="H63" s="430"/>
      <c r="I63" s="430"/>
      <c r="J63" s="432"/>
      <c r="K63" s="433"/>
      <c r="L63" s="433"/>
      <c r="M63" s="434"/>
    </row>
    <row r="64" spans="1:13" ht="15" customHeight="1" x14ac:dyDescent="0.4">
      <c r="A64" s="420"/>
      <c r="B64" s="420"/>
      <c r="C64" s="420"/>
      <c r="D64" s="420"/>
      <c r="E64" s="420"/>
      <c r="F64" s="427"/>
      <c r="G64" s="428"/>
      <c r="H64" s="431"/>
      <c r="I64" s="431"/>
      <c r="J64" s="435"/>
      <c r="K64" s="436"/>
      <c r="L64" s="436"/>
      <c r="M64" s="437"/>
    </row>
    <row r="65" spans="1:13" ht="15" customHeight="1" x14ac:dyDescent="0.4">
      <c r="A65" s="418">
        <v>18</v>
      </c>
      <c r="B65" s="418" t="str">
        <f ca="1">IF(OFFSET(馬匹登録!$P$7,A65,0)&lt;&gt;"",OFFSET(馬匹登録!$P$7,A65,0),"")</f>
        <v/>
      </c>
      <c r="C65" s="421"/>
      <c r="D65" s="422"/>
      <c r="E65" s="422"/>
      <c r="F65" s="423"/>
      <c r="G65" s="424"/>
      <c r="H65" s="429"/>
      <c r="I65" s="429"/>
      <c r="J65" s="413"/>
      <c r="K65" s="414"/>
      <c r="L65" s="414"/>
      <c r="M65" s="415"/>
    </row>
    <row r="66" spans="1:13" ht="15" customHeight="1" x14ac:dyDescent="0.4">
      <c r="A66" s="419"/>
      <c r="B66" s="419"/>
      <c r="C66" s="419"/>
      <c r="D66" s="419"/>
      <c r="E66" s="419"/>
      <c r="F66" s="425"/>
      <c r="G66" s="426"/>
      <c r="H66" s="430"/>
      <c r="I66" s="430"/>
      <c r="J66" s="432"/>
      <c r="K66" s="433"/>
      <c r="L66" s="433"/>
      <c r="M66" s="434"/>
    </row>
    <row r="67" spans="1:13" ht="15" customHeight="1" x14ac:dyDescent="0.4">
      <c r="A67" s="420"/>
      <c r="B67" s="420"/>
      <c r="C67" s="420"/>
      <c r="D67" s="420"/>
      <c r="E67" s="420"/>
      <c r="F67" s="427"/>
      <c r="G67" s="428"/>
      <c r="H67" s="431"/>
      <c r="I67" s="431"/>
      <c r="J67" s="435"/>
      <c r="K67" s="436"/>
      <c r="L67" s="436"/>
      <c r="M67" s="437"/>
    </row>
    <row r="68" spans="1:13" ht="15" customHeight="1" x14ac:dyDescent="0.4">
      <c r="A68" s="418">
        <v>19</v>
      </c>
      <c r="B68" s="418" t="str">
        <f ca="1">IF(OFFSET(馬匹登録!$P$7,A68,0)&lt;&gt;"",OFFSET(馬匹登録!$P$7,A68,0),"")</f>
        <v/>
      </c>
      <c r="C68" s="421"/>
      <c r="D68" s="422"/>
      <c r="E68" s="422"/>
      <c r="F68" s="423"/>
      <c r="G68" s="424"/>
      <c r="H68" s="429"/>
      <c r="I68" s="429"/>
      <c r="J68" s="413"/>
      <c r="K68" s="414"/>
      <c r="L68" s="414"/>
      <c r="M68" s="415"/>
    </row>
    <row r="69" spans="1:13" ht="15" customHeight="1" x14ac:dyDescent="0.4">
      <c r="A69" s="419"/>
      <c r="B69" s="419"/>
      <c r="C69" s="419"/>
      <c r="D69" s="419"/>
      <c r="E69" s="419"/>
      <c r="F69" s="425"/>
      <c r="G69" s="426"/>
      <c r="H69" s="430"/>
      <c r="I69" s="430"/>
      <c r="J69" s="432"/>
      <c r="K69" s="433"/>
      <c r="L69" s="433"/>
      <c r="M69" s="434"/>
    </row>
    <row r="70" spans="1:13" ht="15" customHeight="1" x14ac:dyDescent="0.4">
      <c r="A70" s="420"/>
      <c r="B70" s="420"/>
      <c r="C70" s="420"/>
      <c r="D70" s="420"/>
      <c r="E70" s="420"/>
      <c r="F70" s="427"/>
      <c r="G70" s="428"/>
      <c r="H70" s="431"/>
      <c r="I70" s="431"/>
      <c r="J70" s="435"/>
      <c r="K70" s="436"/>
      <c r="L70" s="436"/>
      <c r="M70" s="437"/>
    </row>
    <row r="71" spans="1:13" ht="15" customHeight="1" x14ac:dyDescent="0.4">
      <c r="A71" s="418">
        <v>20</v>
      </c>
      <c r="B71" s="418" t="str">
        <f ca="1">IF(OFFSET(馬匹登録!$P$7,A71,0)&lt;&gt;"",OFFSET(馬匹登録!$P$7,A71,0),"")</f>
        <v/>
      </c>
      <c r="C71" s="421"/>
      <c r="D71" s="422"/>
      <c r="E71" s="422"/>
      <c r="F71" s="423"/>
      <c r="G71" s="424"/>
      <c r="H71" s="429"/>
      <c r="I71" s="429"/>
      <c r="J71" s="413"/>
      <c r="K71" s="414"/>
      <c r="L71" s="414"/>
      <c r="M71" s="415"/>
    </row>
    <row r="72" spans="1:13" ht="15" customHeight="1" x14ac:dyDescent="0.4">
      <c r="A72" s="419"/>
      <c r="B72" s="419"/>
      <c r="C72" s="419"/>
      <c r="D72" s="419"/>
      <c r="E72" s="419"/>
      <c r="F72" s="425"/>
      <c r="G72" s="426"/>
      <c r="H72" s="430"/>
      <c r="I72" s="430"/>
      <c r="J72" s="432"/>
      <c r="K72" s="433"/>
      <c r="L72" s="433"/>
      <c r="M72" s="434"/>
    </row>
    <row r="73" spans="1:13" ht="15" customHeight="1" x14ac:dyDescent="0.4">
      <c r="A73" s="420"/>
      <c r="B73" s="420"/>
      <c r="C73" s="420"/>
      <c r="D73" s="420"/>
      <c r="E73" s="420"/>
      <c r="F73" s="427"/>
      <c r="G73" s="428"/>
      <c r="H73" s="431"/>
      <c r="I73" s="431"/>
      <c r="J73" s="435"/>
      <c r="K73" s="436"/>
      <c r="L73" s="436"/>
      <c r="M73" s="437"/>
    </row>
    <row r="74" spans="1:13" ht="21" customHeight="1" x14ac:dyDescent="0.4">
      <c r="D74" s="1" t="s">
        <v>188</v>
      </c>
      <c r="E74" s="106">
        <f>$E$34</f>
        <v>2019</v>
      </c>
      <c r="F74" s="109" t="str">
        <f>$F$34</f>
        <v>10月</v>
      </c>
      <c r="G74" s="107" t="str">
        <f>$G$34</f>
        <v>日</v>
      </c>
      <c r="H74" s="1" t="s">
        <v>189</v>
      </c>
      <c r="I74" s="108" t="str">
        <f>$I$34</f>
        <v>時</v>
      </c>
    </row>
    <row r="75" spans="1:13" ht="21" customHeight="1" x14ac:dyDescent="0.4">
      <c r="D75" s="1" t="s">
        <v>191</v>
      </c>
      <c r="E75" s="106">
        <f>$E$35</f>
        <v>2019</v>
      </c>
      <c r="F75" s="109" t="str">
        <f>$F$35</f>
        <v>10月</v>
      </c>
      <c r="G75" s="107" t="str">
        <f>$G$35</f>
        <v>日</v>
      </c>
      <c r="H75" s="1" t="s">
        <v>189</v>
      </c>
      <c r="I75" s="108" t="str">
        <f>$I$35</f>
        <v>時</v>
      </c>
    </row>
    <row r="76" spans="1:13" ht="6" customHeight="1" x14ac:dyDescent="0.4">
      <c r="F76" s="78"/>
    </row>
    <row r="77" spans="1:13" ht="24" customHeight="1" x14ac:dyDescent="0.4">
      <c r="B77" s="104" t="s">
        <v>192</v>
      </c>
      <c r="J77" s="102" t="s">
        <v>30</v>
      </c>
      <c r="K77" s="376" t="str">
        <f>IF(団体登録!$B$6&lt;&gt;"",団体登録!$B$6,"")</f>
        <v/>
      </c>
      <c r="L77" s="376"/>
    </row>
    <row r="78" spans="1:13" ht="24" customHeight="1" x14ac:dyDescent="0.4">
      <c r="J78" s="103" t="s">
        <v>33</v>
      </c>
      <c r="K78" s="103" t="str">
        <f>IF(団体登録!$B$11&lt;&gt;"",団体登録!$B$11,"")</f>
        <v/>
      </c>
      <c r="L78" s="105" t="s">
        <v>196</v>
      </c>
    </row>
    <row r="79" spans="1:13" ht="24" customHeight="1" x14ac:dyDescent="0.4">
      <c r="J79" s="103" t="s">
        <v>193</v>
      </c>
      <c r="K79" s="416" t="str">
        <f>IF(団体登録!$B$8&lt;&gt;"",団体登録!$B$8&amp;" "&amp;団体登録!$B$9,"")</f>
        <v/>
      </c>
      <c r="L79" s="416"/>
    </row>
    <row r="80" spans="1:13" ht="24" customHeight="1" x14ac:dyDescent="0.4">
      <c r="J80" s="103" t="s">
        <v>194</v>
      </c>
      <c r="K80" s="416" t="str">
        <f>IF(団体登録!$B$10&lt;&gt;"",団体登録!$B$10,"")</f>
        <v/>
      </c>
      <c r="L80" s="416"/>
    </row>
    <row r="81" spans="1:13" ht="24" customHeight="1" x14ac:dyDescent="0.4">
      <c r="J81" s="103" t="s">
        <v>195</v>
      </c>
      <c r="K81" s="416"/>
      <c r="L81" s="416"/>
    </row>
    <row r="82" spans="1:13" ht="27" customHeight="1" x14ac:dyDescent="0.5">
      <c r="A82" s="408" t="s">
        <v>181</v>
      </c>
      <c r="B82" s="408"/>
      <c r="C82" s="408"/>
      <c r="D82" s="408"/>
      <c r="E82" s="408"/>
      <c r="F82" s="408"/>
      <c r="G82" s="408"/>
      <c r="H82" s="408"/>
      <c r="I82" s="408"/>
      <c r="J82" s="408"/>
      <c r="K82" s="408"/>
      <c r="L82" s="408"/>
      <c r="M82" s="409"/>
    </row>
    <row r="83" spans="1:13" ht="37.5" customHeight="1" x14ac:dyDescent="0.4">
      <c r="A83" s="99"/>
      <c r="B83" s="77" t="s">
        <v>46</v>
      </c>
      <c r="C83" s="77" t="s">
        <v>75</v>
      </c>
      <c r="D83" s="77" t="s">
        <v>182</v>
      </c>
      <c r="E83" s="77" t="s">
        <v>183</v>
      </c>
      <c r="F83" s="410" t="s">
        <v>184</v>
      </c>
      <c r="G83" s="411"/>
      <c r="H83" s="100" t="s">
        <v>185</v>
      </c>
      <c r="I83" s="100" t="s">
        <v>186</v>
      </c>
      <c r="J83" s="410" t="s">
        <v>187</v>
      </c>
      <c r="K83" s="412"/>
      <c r="L83" s="412"/>
      <c r="M83" s="411"/>
    </row>
    <row r="84" spans="1:13" ht="15" customHeight="1" x14ac:dyDescent="0.4">
      <c r="A84" s="418">
        <v>21</v>
      </c>
      <c r="B84" s="418" t="str">
        <f ca="1">IF(OFFSET(馬匹登録!$P$7,A84,0)&lt;&gt;"",OFFSET(馬匹登録!$P$7,A84,0),"")</f>
        <v/>
      </c>
      <c r="C84" s="421"/>
      <c r="D84" s="422"/>
      <c r="E84" s="422"/>
      <c r="F84" s="423"/>
      <c r="G84" s="424"/>
      <c r="H84" s="429"/>
      <c r="I84" s="429"/>
      <c r="J84" s="413"/>
      <c r="K84" s="414"/>
      <c r="L84" s="414"/>
      <c r="M84" s="415"/>
    </row>
    <row r="85" spans="1:13" ht="15" customHeight="1" x14ac:dyDescent="0.4">
      <c r="A85" s="419"/>
      <c r="B85" s="419"/>
      <c r="C85" s="419"/>
      <c r="D85" s="419"/>
      <c r="E85" s="419"/>
      <c r="F85" s="425"/>
      <c r="G85" s="426"/>
      <c r="H85" s="430"/>
      <c r="I85" s="430"/>
      <c r="J85" s="432"/>
      <c r="K85" s="433"/>
      <c r="L85" s="433"/>
      <c r="M85" s="434"/>
    </row>
    <row r="86" spans="1:13" ht="15" customHeight="1" x14ac:dyDescent="0.4">
      <c r="A86" s="420"/>
      <c r="B86" s="420"/>
      <c r="C86" s="420"/>
      <c r="D86" s="420"/>
      <c r="E86" s="420"/>
      <c r="F86" s="427"/>
      <c r="G86" s="428"/>
      <c r="H86" s="431"/>
      <c r="I86" s="431"/>
      <c r="J86" s="435"/>
      <c r="K86" s="436"/>
      <c r="L86" s="436"/>
      <c r="M86" s="437"/>
    </row>
    <row r="87" spans="1:13" ht="15" customHeight="1" x14ac:dyDescent="0.4">
      <c r="A87" s="418">
        <v>22</v>
      </c>
      <c r="B87" s="418" t="str">
        <f ca="1">IF(OFFSET(馬匹登録!$P$7,A87,0)&lt;&gt;"",OFFSET(馬匹登録!$P$7,A87,0),"")</f>
        <v/>
      </c>
      <c r="C87" s="421"/>
      <c r="D87" s="422"/>
      <c r="E87" s="422"/>
      <c r="F87" s="423"/>
      <c r="G87" s="424"/>
      <c r="H87" s="429"/>
      <c r="I87" s="429"/>
      <c r="J87" s="413"/>
      <c r="K87" s="414"/>
      <c r="L87" s="414"/>
      <c r="M87" s="415"/>
    </row>
    <row r="88" spans="1:13" ht="15" customHeight="1" x14ac:dyDescent="0.4">
      <c r="A88" s="419"/>
      <c r="B88" s="419"/>
      <c r="C88" s="419"/>
      <c r="D88" s="419"/>
      <c r="E88" s="419"/>
      <c r="F88" s="425"/>
      <c r="G88" s="426"/>
      <c r="H88" s="430"/>
      <c r="I88" s="430"/>
      <c r="J88" s="432"/>
      <c r="K88" s="433"/>
      <c r="L88" s="433"/>
      <c r="M88" s="434"/>
    </row>
    <row r="89" spans="1:13" ht="15" customHeight="1" x14ac:dyDescent="0.4">
      <c r="A89" s="420"/>
      <c r="B89" s="420"/>
      <c r="C89" s="420"/>
      <c r="D89" s="420"/>
      <c r="E89" s="420"/>
      <c r="F89" s="427"/>
      <c r="G89" s="428"/>
      <c r="H89" s="431"/>
      <c r="I89" s="431"/>
      <c r="J89" s="435"/>
      <c r="K89" s="436"/>
      <c r="L89" s="436"/>
      <c r="M89" s="437"/>
    </row>
    <row r="90" spans="1:13" ht="15" customHeight="1" x14ac:dyDescent="0.4">
      <c r="A90" s="418">
        <v>23</v>
      </c>
      <c r="B90" s="418" t="str">
        <f ca="1">IF(OFFSET(馬匹登録!$P$7,A90,0)&lt;&gt;"",OFFSET(馬匹登録!$P$7,A90,0),"")</f>
        <v/>
      </c>
      <c r="C90" s="421"/>
      <c r="D90" s="422"/>
      <c r="E90" s="422"/>
      <c r="F90" s="423"/>
      <c r="G90" s="424"/>
      <c r="H90" s="429"/>
      <c r="I90" s="429"/>
      <c r="J90" s="413"/>
      <c r="K90" s="414"/>
      <c r="L90" s="414"/>
      <c r="M90" s="415"/>
    </row>
    <row r="91" spans="1:13" ht="15" customHeight="1" x14ac:dyDescent="0.4">
      <c r="A91" s="419"/>
      <c r="B91" s="419"/>
      <c r="C91" s="419"/>
      <c r="D91" s="419"/>
      <c r="E91" s="419"/>
      <c r="F91" s="425"/>
      <c r="G91" s="426"/>
      <c r="H91" s="430"/>
      <c r="I91" s="430"/>
      <c r="J91" s="432"/>
      <c r="K91" s="433"/>
      <c r="L91" s="433"/>
      <c r="M91" s="434"/>
    </row>
    <row r="92" spans="1:13" ht="15" customHeight="1" x14ac:dyDescent="0.4">
      <c r="A92" s="420"/>
      <c r="B92" s="420"/>
      <c r="C92" s="420"/>
      <c r="D92" s="420"/>
      <c r="E92" s="420"/>
      <c r="F92" s="427"/>
      <c r="G92" s="428"/>
      <c r="H92" s="431"/>
      <c r="I92" s="431"/>
      <c r="J92" s="435"/>
      <c r="K92" s="436"/>
      <c r="L92" s="436"/>
      <c r="M92" s="437"/>
    </row>
    <row r="93" spans="1:13" ht="15" customHeight="1" x14ac:dyDescent="0.4">
      <c r="A93" s="418">
        <v>24</v>
      </c>
      <c r="B93" s="418" t="str">
        <f ca="1">IF(OFFSET(馬匹登録!$P$7,A93,0)&lt;&gt;"",OFFSET(馬匹登録!$P$7,A93,0),"")</f>
        <v/>
      </c>
      <c r="C93" s="421"/>
      <c r="D93" s="422"/>
      <c r="E93" s="422"/>
      <c r="F93" s="423"/>
      <c r="G93" s="424"/>
      <c r="H93" s="429"/>
      <c r="I93" s="429"/>
      <c r="J93" s="413"/>
      <c r="K93" s="414"/>
      <c r="L93" s="414"/>
      <c r="M93" s="415"/>
    </row>
    <row r="94" spans="1:13" ht="15" customHeight="1" x14ac:dyDescent="0.4">
      <c r="A94" s="419"/>
      <c r="B94" s="419"/>
      <c r="C94" s="419"/>
      <c r="D94" s="419"/>
      <c r="E94" s="419"/>
      <c r="F94" s="425"/>
      <c r="G94" s="426"/>
      <c r="H94" s="430"/>
      <c r="I94" s="430"/>
      <c r="J94" s="432"/>
      <c r="K94" s="433"/>
      <c r="L94" s="433"/>
      <c r="M94" s="434"/>
    </row>
    <row r="95" spans="1:13" ht="15" customHeight="1" x14ac:dyDescent="0.4">
      <c r="A95" s="420"/>
      <c r="B95" s="420"/>
      <c r="C95" s="420"/>
      <c r="D95" s="420"/>
      <c r="E95" s="420"/>
      <c r="F95" s="427"/>
      <c r="G95" s="428"/>
      <c r="H95" s="431"/>
      <c r="I95" s="431"/>
      <c r="J95" s="435"/>
      <c r="K95" s="436"/>
      <c r="L95" s="436"/>
      <c r="M95" s="437"/>
    </row>
    <row r="96" spans="1:13" ht="15" customHeight="1" x14ac:dyDescent="0.4">
      <c r="A96" s="418">
        <v>25</v>
      </c>
      <c r="B96" s="418" t="str">
        <f ca="1">IF(OFFSET(馬匹登録!$P$7,A96,0)&lt;&gt;"",OFFSET(馬匹登録!$P$7,A96,0),"")</f>
        <v/>
      </c>
      <c r="C96" s="421"/>
      <c r="D96" s="422"/>
      <c r="E96" s="422"/>
      <c r="F96" s="423"/>
      <c r="G96" s="424"/>
      <c r="H96" s="429"/>
      <c r="I96" s="429"/>
      <c r="J96" s="413"/>
      <c r="K96" s="414"/>
      <c r="L96" s="414"/>
      <c r="M96" s="415"/>
    </row>
    <row r="97" spans="1:13" ht="15" customHeight="1" x14ac:dyDescent="0.4">
      <c r="A97" s="419"/>
      <c r="B97" s="419"/>
      <c r="C97" s="419"/>
      <c r="D97" s="419"/>
      <c r="E97" s="419"/>
      <c r="F97" s="425"/>
      <c r="G97" s="426"/>
      <c r="H97" s="430"/>
      <c r="I97" s="430"/>
      <c r="J97" s="432"/>
      <c r="K97" s="433"/>
      <c r="L97" s="433"/>
      <c r="M97" s="434"/>
    </row>
    <row r="98" spans="1:13" ht="15" customHeight="1" x14ac:dyDescent="0.4">
      <c r="A98" s="420"/>
      <c r="B98" s="420"/>
      <c r="C98" s="420"/>
      <c r="D98" s="420"/>
      <c r="E98" s="420"/>
      <c r="F98" s="427"/>
      <c r="G98" s="428"/>
      <c r="H98" s="431"/>
      <c r="I98" s="431"/>
      <c r="J98" s="435"/>
      <c r="K98" s="436"/>
      <c r="L98" s="436"/>
      <c r="M98" s="437"/>
    </row>
    <row r="99" spans="1:13" ht="15" customHeight="1" x14ac:dyDescent="0.4">
      <c r="A99" s="418">
        <v>26</v>
      </c>
      <c r="B99" s="418" t="str">
        <f ca="1">IF(OFFSET(馬匹登録!$P$7,A99,0)&lt;&gt;"",OFFSET(馬匹登録!$P$7,A99,0),"")</f>
        <v/>
      </c>
      <c r="C99" s="421"/>
      <c r="D99" s="422"/>
      <c r="E99" s="422"/>
      <c r="F99" s="423"/>
      <c r="G99" s="424"/>
      <c r="H99" s="429"/>
      <c r="I99" s="429"/>
      <c r="J99" s="413"/>
      <c r="K99" s="414"/>
      <c r="L99" s="414"/>
      <c r="M99" s="415"/>
    </row>
    <row r="100" spans="1:13" ht="15" customHeight="1" x14ac:dyDescent="0.4">
      <c r="A100" s="419"/>
      <c r="B100" s="419"/>
      <c r="C100" s="419"/>
      <c r="D100" s="419"/>
      <c r="E100" s="419"/>
      <c r="F100" s="425"/>
      <c r="G100" s="426"/>
      <c r="H100" s="430"/>
      <c r="I100" s="430"/>
      <c r="J100" s="432"/>
      <c r="K100" s="433"/>
      <c r="L100" s="433"/>
      <c r="M100" s="434"/>
    </row>
    <row r="101" spans="1:13" ht="15" customHeight="1" x14ac:dyDescent="0.4">
      <c r="A101" s="420"/>
      <c r="B101" s="420"/>
      <c r="C101" s="420"/>
      <c r="D101" s="420"/>
      <c r="E101" s="420"/>
      <c r="F101" s="427"/>
      <c r="G101" s="428"/>
      <c r="H101" s="431"/>
      <c r="I101" s="431"/>
      <c r="J101" s="435"/>
      <c r="K101" s="436"/>
      <c r="L101" s="436"/>
      <c r="M101" s="437"/>
    </row>
    <row r="102" spans="1:13" ht="15" customHeight="1" x14ac:dyDescent="0.4">
      <c r="A102" s="418">
        <v>27</v>
      </c>
      <c r="B102" s="418" t="str">
        <f ca="1">IF(OFFSET(馬匹登録!$P$7,A102,0)&lt;&gt;"",OFFSET(馬匹登録!$P$7,A102,0),"")</f>
        <v/>
      </c>
      <c r="C102" s="421"/>
      <c r="D102" s="422"/>
      <c r="E102" s="422"/>
      <c r="F102" s="423"/>
      <c r="G102" s="424"/>
      <c r="H102" s="429"/>
      <c r="I102" s="429"/>
      <c r="J102" s="413"/>
      <c r="K102" s="414"/>
      <c r="L102" s="414"/>
      <c r="M102" s="415"/>
    </row>
    <row r="103" spans="1:13" ht="15" customHeight="1" x14ac:dyDescent="0.4">
      <c r="A103" s="419"/>
      <c r="B103" s="419"/>
      <c r="C103" s="419"/>
      <c r="D103" s="419"/>
      <c r="E103" s="419"/>
      <c r="F103" s="425"/>
      <c r="G103" s="426"/>
      <c r="H103" s="430"/>
      <c r="I103" s="430"/>
      <c r="J103" s="432"/>
      <c r="K103" s="433"/>
      <c r="L103" s="433"/>
      <c r="M103" s="434"/>
    </row>
    <row r="104" spans="1:13" ht="15" customHeight="1" x14ac:dyDescent="0.4">
      <c r="A104" s="420"/>
      <c r="B104" s="420"/>
      <c r="C104" s="420"/>
      <c r="D104" s="420"/>
      <c r="E104" s="420"/>
      <c r="F104" s="427"/>
      <c r="G104" s="428"/>
      <c r="H104" s="431"/>
      <c r="I104" s="431"/>
      <c r="J104" s="435"/>
      <c r="K104" s="436"/>
      <c r="L104" s="436"/>
      <c r="M104" s="437"/>
    </row>
    <row r="105" spans="1:13" ht="15" customHeight="1" x14ac:dyDescent="0.4">
      <c r="A105" s="418">
        <v>28</v>
      </c>
      <c r="B105" s="418" t="str">
        <f ca="1">IF(OFFSET(馬匹登録!$P$7,A105,0)&lt;&gt;"",OFFSET(馬匹登録!$P$7,A105,0),"")</f>
        <v/>
      </c>
      <c r="C105" s="421"/>
      <c r="D105" s="422"/>
      <c r="E105" s="422"/>
      <c r="F105" s="423"/>
      <c r="G105" s="424"/>
      <c r="H105" s="429"/>
      <c r="I105" s="429"/>
      <c r="J105" s="413"/>
      <c r="K105" s="414"/>
      <c r="L105" s="414"/>
      <c r="M105" s="415"/>
    </row>
    <row r="106" spans="1:13" ht="15" customHeight="1" x14ac:dyDescent="0.4">
      <c r="A106" s="419"/>
      <c r="B106" s="419"/>
      <c r="C106" s="419"/>
      <c r="D106" s="419"/>
      <c r="E106" s="419"/>
      <c r="F106" s="425"/>
      <c r="G106" s="426"/>
      <c r="H106" s="430"/>
      <c r="I106" s="430"/>
      <c r="J106" s="432"/>
      <c r="K106" s="433"/>
      <c r="L106" s="433"/>
      <c r="M106" s="434"/>
    </row>
    <row r="107" spans="1:13" ht="15" customHeight="1" x14ac:dyDescent="0.4">
      <c r="A107" s="420"/>
      <c r="B107" s="420"/>
      <c r="C107" s="420"/>
      <c r="D107" s="420"/>
      <c r="E107" s="420"/>
      <c r="F107" s="427"/>
      <c r="G107" s="428"/>
      <c r="H107" s="431"/>
      <c r="I107" s="431"/>
      <c r="J107" s="435"/>
      <c r="K107" s="436"/>
      <c r="L107" s="436"/>
      <c r="M107" s="437"/>
    </row>
    <row r="108" spans="1:13" ht="15" customHeight="1" x14ac:dyDescent="0.4">
      <c r="A108" s="418">
        <v>29</v>
      </c>
      <c r="B108" s="418" t="str">
        <f ca="1">IF(OFFSET(馬匹登録!$P$7,A108,0)&lt;&gt;"",OFFSET(馬匹登録!$P$7,A108,0),"")</f>
        <v/>
      </c>
      <c r="C108" s="421"/>
      <c r="D108" s="422"/>
      <c r="E108" s="422"/>
      <c r="F108" s="423"/>
      <c r="G108" s="424"/>
      <c r="H108" s="429"/>
      <c r="I108" s="429"/>
      <c r="J108" s="413"/>
      <c r="K108" s="414"/>
      <c r="L108" s="414"/>
      <c r="M108" s="415"/>
    </row>
    <row r="109" spans="1:13" ht="15" customHeight="1" x14ac:dyDescent="0.4">
      <c r="A109" s="419"/>
      <c r="B109" s="419"/>
      <c r="C109" s="419"/>
      <c r="D109" s="419"/>
      <c r="E109" s="419"/>
      <c r="F109" s="425"/>
      <c r="G109" s="426"/>
      <c r="H109" s="430"/>
      <c r="I109" s="430"/>
      <c r="J109" s="432"/>
      <c r="K109" s="433"/>
      <c r="L109" s="433"/>
      <c r="M109" s="434"/>
    </row>
    <row r="110" spans="1:13" ht="15" customHeight="1" x14ac:dyDescent="0.4">
      <c r="A110" s="420"/>
      <c r="B110" s="420"/>
      <c r="C110" s="420"/>
      <c r="D110" s="420"/>
      <c r="E110" s="420"/>
      <c r="F110" s="427"/>
      <c r="G110" s="428"/>
      <c r="H110" s="431"/>
      <c r="I110" s="431"/>
      <c r="J110" s="435"/>
      <c r="K110" s="436"/>
      <c r="L110" s="436"/>
      <c r="M110" s="437"/>
    </row>
    <row r="111" spans="1:13" ht="15" customHeight="1" x14ac:dyDescent="0.4">
      <c r="A111" s="418">
        <v>30</v>
      </c>
      <c r="B111" s="418" t="str">
        <f ca="1">IF(OFFSET(馬匹登録!$P$7,A111,0)&lt;&gt;"",OFFSET(馬匹登録!$P$7,A111,0),"")</f>
        <v/>
      </c>
      <c r="C111" s="421"/>
      <c r="D111" s="422"/>
      <c r="E111" s="422"/>
      <c r="F111" s="423"/>
      <c r="G111" s="424"/>
      <c r="H111" s="429"/>
      <c r="I111" s="429"/>
      <c r="J111" s="413"/>
      <c r="K111" s="414"/>
      <c r="L111" s="414"/>
      <c r="M111" s="415"/>
    </row>
    <row r="112" spans="1:13" ht="15" customHeight="1" x14ac:dyDescent="0.4">
      <c r="A112" s="419"/>
      <c r="B112" s="419"/>
      <c r="C112" s="419"/>
      <c r="D112" s="419"/>
      <c r="E112" s="419"/>
      <c r="F112" s="425"/>
      <c r="G112" s="426"/>
      <c r="H112" s="430"/>
      <c r="I112" s="430"/>
      <c r="J112" s="432"/>
      <c r="K112" s="433"/>
      <c r="L112" s="433"/>
      <c r="M112" s="434"/>
    </row>
    <row r="113" spans="1:13" ht="15" customHeight="1" x14ac:dyDescent="0.4">
      <c r="A113" s="420"/>
      <c r="B113" s="420"/>
      <c r="C113" s="420"/>
      <c r="D113" s="420"/>
      <c r="E113" s="420"/>
      <c r="F113" s="427"/>
      <c r="G113" s="428"/>
      <c r="H113" s="431"/>
      <c r="I113" s="431"/>
      <c r="J113" s="435"/>
      <c r="K113" s="436"/>
      <c r="L113" s="436"/>
      <c r="M113" s="437"/>
    </row>
    <row r="114" spans="1:13" ht="21" customHeight="1" x14ac:dyDescent="0.4">
      <c r="D114" s="1" t="s">
        <v>188</v>
      </c>
      <c r="E114" s="106">
        <f>$E$34</f>
        <v>2019</v>
      </c>
      <c r="F114" s="109" t="str">
        <f>$F$34</f>
        <v>10月</v>
      </c>
      <c r="G114" s="107" t="str">
        <f>$G$34</f>
        <v>日</v>
      </c>
      <c r="H114" s="1" t="s">
        <v>189</v>
      </c>
      <c r="I114" s="108" t="str">
        <f>$I$34</f>
        <v>時</v>
      </c>
    </row>
    <row r="115" spans="1:13" ht="21" customHeight="1" x14ac:dyDescent="0.4">
      <c r="D115" s="1" t="s">
        <v>191</v>
      </c>
      <c r="E115" s="106">
        <f>$E$35</f>
        <v>2019</v>
      </c>
      <c r="F115" s="109" t="str">
        <f>$F$35</f>
        <v>10月</v>
      </c>
      <c r="G115" s="107" t="str">
        <f>$G$35</f>
        <v>日</v>
      </c>
      <c r="H115" s="1" t="s">
        <v>189</v>
      </c>
      <c r="I115" s="108" t="str">
        <f>$I$35</f>
        <v>時</v>
      </c>
    </row>
    <row r="116" spans="1:13" ht="6" customHeight="1" x14ac:dyDescent="0.4">
      <c r="F116" s="78"/>
    </row>
    <row r="117" spans="1:13" ht="24" customHeight="1" x14ac:dyDescent="0.4">
      <c r="B117" s="104" t="s">
        <v>192</v>
      </c>
      <c r="J117" s="102" t="s">
        <v>30</v>
      </c>
      <c r="K117" s="376" t="str">
        <f>IF(団体登録!$B$6&lt;&gt;"",団体登録!$B$6,"")</f>
        <v/>
      </c>
      <c r="L117" s="376"/>
    </row>
    <row r="118" spans="1:13" ht="24" customHeight="1" x14ac:dyDescent="0.4">
      <c r="J118" s="103" t="s">
        <v>33</v>
      </c>
      <c r="K118" s="103" t="str">
        <f>IF(団体登録!$B$11&lt;&gt;"",団体登録!$B$11,"")</f>
        <v/>
      </c>
      <c r="L118" s="105" t="s">
        <v>196</v>
      </c>
    </row>
    <row r="119" spans="1:13" ht="24" customHeight="1" x14ac:dyDescent="0.4">
      <c r="J119" s="103" t="s">
        <v>193</v>
      </c>
      <c r="K119" s="416" t="str">
        <f>IF(団体登録!$B$8&lt;&gt;"",団体登録!$B$8&amp;" "&amp;団体登録!$B$9,"")</f>
        <v/>
      </c>
      <c r="L119" s="416"/>
    </row>
    <row r="120" spans="1:13" ht="24" customHeight="1" x14ac:dyDescent="0.4">
      <c r="J120" s="103" t="s">
        <v>194</v>
      </c>
      <c r="K120" s="416" t="str">
        <f>IF(団体登録!$B$10&lt;&gt;"",団体登録!$B$10,"")</f>
        <v/>
      </c>
      <c r="L120" s="416"/>
    </row>
    <row r="121" spans="1:13" ht="24" customHeight="1" x14ac:dyDescent="0.4">
      <c r="J121" s="103" t="s">
        <v>195</v>
      </c>
      <c r="K121" s="416"/>
      <c r="L121" s="416"/>
    </row>
  </sheetData>
  <sheetProtection algorithmName="SHA-512" hashValue="D/3BN1SfeL6vQn0s/pgjm/aZTvN6LV0vbTjjdMzeb+QrgDtn8R2nJ7YRCvJCqmrfDlYvJhFh3Wodffq6EYFX/w==" saltValue="2S0wLZDovWCuGz/Pr5nBlA==" spinCount="100000" sheet="1" objects="1" scenarios="1"/>
  <mergeCells count="351">
    <mergeCell ref="F111:G113"/>
    <mergeCell ref="H111:H113"/>
    <mergeCell ref="I111:I113"/>
    <mergeCell ref="J111:M111"/>
    <mergeCell ref="J112:M112"/>
    <mergeCell ref="J113:M113"/>
    <mergeCell ref="A111:A113"/>
    <mergeCell ref="B111:B113"/>
    <mergeCell ref="C111:C113"/>
    <mergeCell ref="D111:D113"/>
    <mergeCell ref="E111:E113"/>
    <mergeCell ref="F108:G110"/>
    <mergeCell ref="H108:H110"/>
    <mergeCell ref="I108:I110"/>
    <mergeCell ref="J108:M108"/>
    <mergeCell ref="J109:M109"/>
    <mergeCell ref="J110:M110"/>
    <mergeCell ref="A108:A110"/>
    <mergeCell ref="B108:B110"/>
    <mergeCell ref="C108:C110"/>
    <mergeCell ref="D108:D110"/>
    <mergeCell ref="E108:E110"/>
    <mergeCell ref="F105:G107"/>
    <mergeCell ref="H105:H107"/>
    <mergeCell ref="I105:I107"/>
    <mergeCell ref="J105:M105"/>
    <mergeCell ref="J106:M106"/>
    <mergeCell ref="J107:M107"/>
    <mergeCell ref="A105:A107"/>
    <mergeCell ref="B105:B107"/>
    <mergeCell ref="C105:C107"/>
    <mergeCell ref="D105:D107"/>
    <mergeCell ref="E105:E107"/>
    <mergeCell ref="F102:G104"/>
    <mergeCell ref="H102:H104"/>
    <mergeCell ref="I102:I104"/>
    <mergeCell ref="J102:M102"/>
    <mergeCell ref="J103:M103"/>
    <mergeCell ref="J104:M104"/>
    <mergeCell ref="A102:A104"/>
    <mergeCell ref="B102:B104"/>
    <mergeCell ref="C102:C104"/>
    <mergeCell ref="D102:D104"/>
    <mergeCell ref="E102:E104"/>
    <mergeCell ref="F99:G101"/>
    <mergeCell ref="H99:H101"/>
    <mergeCell ref="I99:I101"/>
    <mergeCell ref="J99:M99"/>
    <mergeCell ref="J100:M100"/>
    <mergeCell ref="J101:M101"/>
    <mergeCell ref="A99:A101"/>
    <mergeCell ref="B99:B101"/>
    <mergeCell ref="C99:C101"/>
    <mergeCell ref="D99:D101"/>
    <mergeCell ref="E99:E101"/>
    <mergeCell ref="F96:G98"/>
    <mergeCell ref="H96:H98"/>
    <mergeCell ref="I96:I98"/>
    <mergeCell ref="J96:M96"/>
    <mergeCell ref="J97:M97"/>
    <mergeCell ref="J98:M98"/>
    <mergeCell ref="A96:A98"/>
    <mergeCell ref="B96:B98"/>
    <mergeCell ref="C96:C98"/>
    <mergeCell ref="D96:D98"/>
    <mergeCell ref="E96:E98"/>
    <mergeCell ref="F93:G95"/>
    <mergeCell ref="H93:H95"/>
    <mergeCell ref="I93:I95"/>
    <mergeCell ref="J93:M93"/>
    <mergeCell ref="J94:M94"/>
    <mergeCell ref="J95:M95"/>
    <mergeCell ref="A93:A95"/>
    <mergeCell ref="B93:B95"/>
    <mergeCell ref="C93:C95"/>
    <mergeCell ref="D93:D95"/>
    <mergeCell ref="E93:E95"/>
    <mergeCell ref="F90:G92"/>
    <mergeCell ref="H90:H92"/>
    <mergeCell ref="I90:I92"/>
    <mergeCell ref="J90:M90"/>
    <mergeCell ref="J91:M91"/>
    <mergeCell ref="J92:M92"/>
    <mergeCell ref="A90:A92"/>
    <mergeCell ref="B90:B92"/>
    <mergeCell ref="C90:C92"/>
    <mergeCell ref="D90:D92"/>
    <mergeCell ref="E90:E92"/>
    <mergeCell ref="F87:G89"/>
    <mergeCell ref="H87:H89"/>
    <mergeCell ref="I87:I89"/>
    <mergeCell ref="J87:M87"/>
    <mergeCell ref="J88:M88"/>
    <mergeCell ref="J89:M89"/>
    <mergeCell ref="A87:A89"/>
    <mergeCell ref="B87:B89"/>
    <mergeCell ref="C87:C89"/>
    <mergeCell ref="D87:D89"/>
    <mergeCell ref="E87:E89"/>
    <mergeCell ref="F84:G86"/>
    <mergeCell ref="H84:H86"/>
    <mergeCell ref="I84:I86"/>
    <mergeCell ref="J84:M84"/>
    <mergeCell ref="J85:M85"/>
    <mergeCell ref="J86:M86"/>
    <mergeCell ref="A84:A86"/>
    <mergeCell ref="B84:B86"/>
    <mergeCell ref="C84:C86"/>
    <mergeCell ref="D84:D86"/>
    <mergeCell ref="E84:E86"/>
    <mergeCell ref="F71:G73"/>
    <mergeCell ref="H71:H73"/>
    <mergeCell ref="I71:I73"/>
    <mergeCell ref="J71:M71"/>
    <mergeCell ref="J72:M72"/>
    <mergeCell ref="J73:M73"/>
    <mergeCell ref="A71:A73"/>
    <mergeCell ref="B71:B73"/>
    <mergeCell ref="C71:C73"/>
    <mergeCell ref="D71:D73"/>
    <mergeCell ref="E71:E73"/>
    <mergeCell ref="F68:G70"/>
    <mergeCell ref="H68:H70"/>
    <mergeCell ref="I68:I70"/>
    <mergeCell ref="J68:M68"/>
    <mergeCell ref="J69:M69"/>
    <mergeCell ref="J70:M70"/>
    <mergeCell ref="A68:A70"/>
    <mergeCell ref="B68:B70"/>
    <mergeCell ref="C68:C70"/>
    <mergeCell ref="D68:D70"/>
    <mergeCell ref="E68:E70"/>
    <mergeCell ref="J62:M62"/>
    <mergeCell ref="J63:M63"/>
    <mergeCell ref="J64:M64"/>
    <mergeCell ref="A62:A64"/>
    <mergeCell ref="B62:B64"/>
    <mergeCell ref="C62:C64"/>
    <mergeCell ref="D62:D64"/>
    <mergeCell ref="E62:E64"/>
    <mergeCell ref="F65:G67"/>
    <mergeCell ref="H65:H67"/>
    <mergeCell ref="I65:I67"/>
    <mergeCell ref="J65:M65"/>
    <mergeCell ref="J66:M66"/>
    <mergeCell ref="J67:M67"/>
    <mergeCell ref="A65:A67"/>
    <mergeCell ref="B65:B67"/>
    <mergeCell ref="C65:C67"/>
    <mergeCell ref="D65:D67"/>
    <mergeCell ref="E65:E67"/>
    <mergeCell ref="A56:A58"/>
    <mergeCell ref="B56:B58"/>
    <mergeCell ref="C56:C58"/>
    <mergeCell ref="D56:D58"/>
    <mergeCell ref="E56:E58"/>
    <mergeCell ref="F59:G61"/>
    <mergeCell ref="H59:H61"/>
    <mergeCell ref="I59:I61"/>
    <mergeCell ref="J59:M59"/>
    <mergeCell ref="J60:M60"/>
    <mergeCell ref="J61:M61"/>
    <mergeCell ref="A59:A61"/>
    <mergeCell ref="B59:B61"/>
    <mergeCell ref="C59:C61"/>
    <mergeCell ref="D59:D61"/>
    <mergeCell ref="E59:E61"/>
    <mergeCell ref="A47:A49"/>
    <mergeCell ref="B47:B49"/>
    <mergeCell ref="C47:C49"/>
    <mergeCell ref="D47:D49"/>
    <mergeCell ref="E47:E49"/>
    <mergeCell ref="F53:G55"/>
    <mergeCell ref="H53:H55"/>
    <mergeCell ref="I53:I55"/>
    <mergeCell ref="J53:M53"/>
    <mergeCell ref="J54:M54"/>
    <mergeCell ref="J55:M55"/>
    <mergeCell ref="A53:A55"/>
    <mergeCell ref="B53:B55"/>
    <mergeCell ref="C53:C55"/>
    <mergeCell ref="D53:D55"/>
    <mergeCell ref="E53:E55"/>
    <mergeCell ref="A50:A52"/>
    <mergeCell ref="B50:B52"/>
    <mergeCell ref="C50:C52"/>
    <mergeCell ref="D50:D52"/>
    <mergeCell ref="E50:E52"/>
    <mergeCell ref="F50:G52"/>
    <mergeCell ref="H50:H52"/>
    <mergeCell ref="I50:I52"/>
    <mergeCell ref="J50:M50"/>
    <mergeCell ref="J51:M51"/>
    <mergeCell ref="J52:M52"/>
    <mergeCell ref="F31:G33"/>
    <mergeCell ref="H31:H33"/>
    <mergeCell ref="I31:I33"/>
    <mergeCell ref="J31:M31"/>
    <mergeCell ref="J32:M32"/>
    <mergeCell ref="J33:M33"/>
    <mergeCell ref="A31:A33"/>
    <mergeCell ref="B31:B33"/>
    <mergeCell ref="C31:C33"/>
    <mergeCell ref="D31:D33"/>
    <mergeCell ref="E31:E33"/>
    <mergeCell ref="F28:G30"/>
    <mergeCell ref="H28:H30"/>
    <mergeCell ref="I28:I30"/>
    <mergeCell ref="J28:M28"/>
    <mergeCell ref="J29:M29"/>
    <mergeCell ref="J30:M30"/>
    <mergeCell ref="A28:A30"/>
    <mergeCell ref="B28:B30"/>
    <mergeCell ref="C28:C30"/>
    <mergeCell ref="D28:D30"/>
    <mergeCell ref="E28:E30"/>
    <mergeCell ref="F25:G27"/>
    <mergeCell ref="H25:H27"/>
    <mergeCell ref="I25:I27"/>
    <mergeCell ref="J25:M25"/>
    <mergeCell ref="J26:M26"/>
    <mergeCell ref="J27:M27"/>
    <mergeCell ref="A25:A27"/>
    <mergeCell ref="B25:B27"/>
    <mergeCell ref="C25:C27"/>
    <mergeCell ref="D25:D27"/>
    <mergeCell ref="E25:E27"/>
    <mergeCell ref="F22:G24"/>
    <mergeCell ref="H22:H24"/>
    <mergeCell ref="I22:I24"/>
    <mergeCell ref="J22:M22"/>
    <mergeCell ref="J23:M23"/>
    <mergeCell ref="J24:M24"/>
    <mergeCell ref="A22:A24"/>
    <mergeCell ref="B22:B24"/>
    <mergeCell ref="C22:C24"/>
    <mergeCell ref="D22:D24"/>
    <mergeCell ref="E22:E24"/>
    <mergeCell ref="F19:G21"/>
    <mergeCell ref="H19:H21"/>
    <mergeCell ref="I19:I21"/>
    <mergeCell ref="J19:M19"/>
    <mergeCell ref="J20:M20"/>
    <mergeCell ref="J21:M21"/>
    <mergeCell ref="A19:A21"/>
    <mergeCell ref="B19:B21"/>
    <mergeCell ref="C19:C21"/>
    <mergeCell ref="D19:D21"/>
    <mergeCell ref="E19:E21"/>
    <mergeCell ref="F16:G18"/>
    <mergeCell ref="H16:H18"/>
    <mergeCell ref="I16:I18"/>
    <mergeCell ref="J16:M16"/>
    <mergeCell ref="J17:M17"/>
    <mergeCell ref="J18:M18"/>
    <mergeCell ref="A16:A18"/>
    <mergeCell ref="B16:B18"/>
    <mergeCell ref="C16:C18"/>
    <mergeCell ref="D16:D18"/>
    <mergeCell ref="E16:E18"/>
    <mergeCell ref="A13:A15"/>
    <mergeCell ref="B13:B15"/>
    <mergeCell ref="A10:A12"/>
    <mergeCell ref="B10:B12"/>
    <mergeCell ref="A7:A9"/>
    <mergeCell ref="B7:B9"/>
    <mergeCell ref="F13:G15"/>
    <mergeCell ref="H13:H15"/>
    <mergeCell ref="I13:I15"/>
    <mergeCell ref="F7:G9"/>
    <mergeCell ref="H7:H9"/>
    <mergeCell ref="I7:I9"/>
    <mergeCell ref="J13:M13"/>
    <mergeCell ref="J14:M14"/>
    <mergeCell ref="J15:M15"/>
    <mergeCell ref="C13:C15"/>
    <mergeCell ref="D13:D15"/>
    <mergeCell ref="E13:E15"/>
    <mergeCell ref="F10:G12"/>
    <mergeCell ref="H10:H12"/>
    <mergeCell ref="I10:I12"/>
    <mergeCell ref="J10:M10"/>
    <mergeCell ref="J11:M11"/>
    <mergeCell ref="J12:M12"/>
    <mergeCell ref="C10:C12"/>
    <mergeCell ref="D10:D12"/>
    <mergeCell ref="E10:E12"/>
    <mergeCell ref="J7:M7"/>
    <mergeCell ref="J8:M8"/>
    <mergeCell ref="J9:M9"/>
    <mergeCell ref="C7:C9"/>
    <mergeCell ref="D7:D9"/>
    <mergeCell ref="E7:E9"/>
    <mergeCell ref="J5:M5"/>
    <mergeCell ref="J6:M6"/>
    <mergeCell ref="A4:A6"/>
    <mergeCell ref="B4:B6"/>
    <mergeCell ref="C4:C6"/>
    <mergeCell ref="D4:D6"/>
    <mergeCell ref="E4:E6"/>
    <mergeCell ref="F4:G6"/>
    <mergeCell ref="I4:I6"/>
    <mergeCell ref="H4:H6"/>
    <mergeCell ref="K77:L77"/>
    <mergeCell ref="K80:L80"/>
    <mergeCell ref="K79:L79"/>
    <mergeCell ref="F44:G46"/>
    <mergeCell ref="H44:H46"/>
    <mergeCell ref="I44:I46"/>
    <mergeCell ref="J44:M44"/>
    <mergeCell ref="J45:M45"/>
    <mergeCell ref="J46:M46"/>
    <mergeCell ref="F47:G49"/>
    <mergeCell ref="H47:H49"/>
    <mergeCell ref="I47:I49"/>
    <mergeCell ref="J47:M47"/>
    <mergeCell ref="J48:M48"/>
    <mergeCell ref="J49:M49"/>
    <mergeCell ref="F56:G58"/>
    <mergeCell ref="H56:H58"/>
    <mergeCell ref="I56:I58"/>
    <mergeCell ref="J56:M56"/>
    <mergeCell ref="J57:M57"/>
    <mergeCell ref="J58:M58"/>
    <mergeCell ref="F62:G64"/>
    <mergeCell ref="H62:H64"/>
    <mergeCell ref="I62:I64"/>
    <mergeCell ref="A2:M2"/>
    <mergeCell ref="F3:G3"/>
    <mergeCell ref="J3:M3"/>
    <mergeCell ref="J4:M4"/>
    <mergeCell ref="K117:L117"/>
    <mergeCell ref="K119:L119"/>
    <mergeCell ref="K120:L120"/>
    <mergeCell ref="K121:L121"/>
    <mergeCell ref="K81:L81"/>
    <mergeCell ref="A42:M42"/>
    <mergeCell ref="F43:G43"/>
    <mergeCell ref="J43:M43"/>
    <mergeCell ref="K37:L37"/>
    <mergeCell ref="K41:L41"/>
    <mergeCell ref="K40:L40"/>
    <mergeCell ref="K39:L39"/>
    <mergeCell ref="A44:A46"/>
    <mergeCell ref="B44:B46"/>
    <mergeCell ref="C44:C46"/>
    <mergeCell ref="D44:D46"/>
    <mergeCell ref="E44:E46"/>
    <mergeCell ref="A82:M82"/>
    <mergeCell ref="F83:G83"/>
    <mergeCell ref="J83:M83"/>
  </mergeCells>
  <phoneticPr fontId="4"/>
  <dataValidations count="3">
    <dataValidation type="list" allowBlank="1" showInputMessage="1" sqref="C31 C4 C7 C10 C13 C16 C19 C22 C25 C28 C71 C47 C50 C53 C56 C59 C62 C65 C68 C44 C111 C87 C90 C93 C96 C99 C102 C105 C108 C84" xr:uid="{B591A3C0-DA3B-446E-9A27-C131512E27A5}">
      <formula1>"牡,牝,騙,"</formula1>
    </dataValidation>
    <dataValidation type="list" allowBlank="1" showInputMessage="1" sqref="D31 D4 D7 D10 D13 D16 D19 D22 D25 D28 D71 D47 D50 D53 D56 D59 D62 D65 D68 D44 D111 D87 D90 D93 D96 D99 D102 D105 D108 D84" xr:uid="{53DC709F-795F-4253-A352-74507A7F9729}">
      <formula1>"鹿毛,黒鹿毛,青鹿毛,青毛,芦毛,栗毛,栃栗毛,白毛,佐目毛,河原毛,月毛,粕毛,薄墨毛,駁毛,尾花栗毛,シャンパン,シルバーダップル,パール"</formula1>
    </dataValidation>
    <dataValidation type="list" allowBlank="1" showInputMessage="1" sqref="H34:H35" xr:uid="{269B420D-4976-40CC-A131-D6B055FF4329}">
      <formula1>"AM・PM,AM,PM"</formula1>
    </dataValidation>
  </dataValidations>
  <printOptions horizontalCentered="1"/>
  <pageMargins left="0.39370078740157483" right="0.39370078740157483" top="0.39370078740157483" bottom="0.39370078740157483" header="0.31496062992125984" footer="0.31496062992125984"/>
  <pageSetup paperSize="9" scale="75" orientation="landscape" r:id="rId1"/>
  <rowBreaks count="2" manualBreakCount="2">
    <brk id="41" max="16383" man="1"/>
    <brk id="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お知らせ・記入要領</vt:lpstr>
      <vt:lpstr>競技一覧</vt:lpstr>
      <vt:lpstr>団体登録</vt:lpstr>
      <vt:lpstr>選手登録</vt:lpstr>
      <vt:lpstr>馬匹登録</vt:lpstr>
      <vt:lpstr>エントリー</vt:lpstr>
      <vt:lpstr>変更申込み</vt:lpstr>
      <vt:lpstr>馬管理者棟</vt:lpstr>
      <vt:lpstr>入厩届</vt:lpstr>
      <vt:lpstr>委任状</vt:lpstr>
      <vt:lpstr>設定</vt:lpstr>
      <vt:lpstr>リスト</vt:lpstr>
      <vt:lpstr>エントリー!Print_Area</vt:lpstr>
      <vt:lpstr>リスト!Print_Area</vt:lpstr>
      <vt:lpstr>委任状!Print_Area</vt:lpstr>
      <vt:lpstr>競技一覧!Print_Area</vt:lpstr>
      <vt:lpstr>選手登録!Print_Area</vt:lpstr>
      <vt:lpstr>団体登録!Print_Area</vt:lpstr>
      <vt:lpstr>入厩届!Print_Area</vt:lpstr>
      <vt:lpstr>馬管理者棟!Print_Area</vt:lpstr>
      <vt:lpstr>馬匹登録!Print_Area</vt:lpstr>
      <vt:lpstr>変更申込み!Print_Area</vt:lpstr>
      <vt:lpstr>エントリー!Print_Titles</vt:lpstr>
      <vt:lpstr>競技一覧!Print_Titles</vt:lpstr>
      <vt:lpstr>選手登録!Print_Titles</vt:lpstr>
      <vt:lpstr>変更申込み!Print_Titles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キャロットステークス エントリーフォーム</dc:title>
  <dc:creator/>
  <cp:lastModifiedBy>YUKIHIKO SOHDA</cp:lastModifiedBy>
  <cp:lastPrinted>2019-07-04T08:21:27Z</cp:lastPrinted>
  <dcterms:created xsi:type="dcterms:W3CDTF">2015-06-05T18:17:20Z</dcterms:created>
  <dcterms:modified xsi:type="dcterms:W3CDTF">2019-09-25T04:46:42Z</dcterms:modified>
</cp:coreProperties>
</file>