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11350.ITMDOM\Desktop\社馬連\"/>
    </mc:Choice>
  </mc:AlternateContent>
  <workbookProtection workbookAlgorithmName="SHA-512" workbookHashValue="KjXom/bjErUHoVUqx2/93IPYPO5b48kMJ5otADRcSrG6r4YBcMYiw26eMvD+gDVdBVbHKmCRUHqwx2F8Q3ee4g==" workbookSaltValue="CyoWM7URhaFUx3+Mx7q8kg==" workbookSpinCount="100000" lockStructure="1"/>
  <bookViews>
    <workbookView xWindow="0" yWindow="0" windowWidth="28800" windowHeight="11835" tabRatio="739"/>
  </bookViews>
  <sheets>
    <sheet name="お知らせ・記入要領" sheetId="1" r:id="rId1"/>
    <sheet name="競技一覧" sheetId="2" r:id="rId2"/>
    <sheet name="団体登録" sheetId="3" r:id="rId3"/>
    <sheet name="選手登録" sheetId="4" r:id="rId4"/>
    <sheet name="馬匹登録" sheetId="5" r:id="rId5"/>
    <sheet name="エントリー" sheetId="6" r:id="rId6"/>
    <sheet name="馬管理者棟" sheetId="9" r:id="rId7"/>
    <sheet name="入厩届" sheetId="14" r:id="rId8"/>
    <sheet name="委任状" sheetId="15" r:id="rId9"/>
    <sheet name="委任状 (団体)" sheetId="17" r:id="rId10"/>
    <sheet name="マスタ" sheetId="18" state="hidden" r:id="rId11"/>
    <sheet name="リスト" sheetId="10" state="hidden" r:id="rId12"/>
    <sheet name="変更申込み" sheetId="8" state="hidden" r:id="rId13"/>
    <sheet name="ISO3166-1" sheetId="19" state="hidden" r:id="rId14"/>
  </sheets>
  <definedNames>
    <definedName name="_xlnm._FilterDatabase" localSheetId="13" hidden="1">'ISO3166-1'!$B$2:$H$250</definedName>
    <definedName name="_xlnm.Print_Area" localSheetId="5">エントリー!$A$1:$J$107</definedName>
    <definedName name="_xlnm.Print_Area" localSheetId="0">お知らせ・記入要領!$A$1:$T$38</definedName>
    <definedName name="_xlnm.Print_Area" localSheetId="10">マスタ!$A$1:$AK$49</definedName>
    <definedName name="_xlnm.Print_Area" localSheetId="11">リスト!$A$1:$B$1</definedName>
    <definedName name="_xlnm.Print_Area" localSheetId="8">委任状!$A$6:$H$31</definedName>
    <definedName name="_xlnm.Print_Area" localSheetId="9">'委任状 (団体)'!$A$6:$H$38</definedName>
    <definedName name="_xlnm.Print_Area" localSheetId="1">競技一覧!$A$1:$I$49</definedName>
    <definedName name="_xlnm.Print_Area" localSheetId="3">選手登録!$A$1:$K$57</definedName>
    <definedName name="_xlnm.Print_Area" localSheetId="2">団体登録!$A$1:$J$30</definedName>
    <definedName name="_xlnm.Print_Area" localSheetId="7">入厩届!$A$3:$M$202</definedName>
    <definedName name="_xlnm.Print_Area" localSheetId="6">馬管理者棟!$A$1:$K$20</definedName>
    <definedName name="_xlnm.Print_Area" localSheetId="4">馬匹登録!$A$1:$H$57</definedName>
    <definedName name="_xlnm.Print_Area" localSheetId="12">変更申込み!$A$1:$Q$54</definedName>
    <definedName name="_xlnm.Print_Titles" localSheetId="5">エントリー!$1:$7</definedName>
    <definedName name="_xlnm.Print_Titles" localSheetId="1">競技一覧!$3:$4</definedName>
    <definedName name="_xlnm.Print_Titles" localSheetId="3">選手登録!$1:$7</definedName>
    <definedName name="_xlnm.Print_Titles" localSheetId="4">馬匹登録!$1:$7</definedName>
    <definedName name="_xlnm.Print_Titles" localSheetId="12">変更申込み!$1:$14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7" i="10" l="1"/>
  <c r="A34" i="1"/>
  <c r="A33" i="1"/>
  <c r="A5" i="4"/>
  <c r="A7" i="2"/>
  <c r="B7" i="2"/>
  <c r="C7" i="2"/>
  <c r="D7" i="2"/>
  <c r="E7" i="2"/>
  <c r="F7" i="2"/>
  <c r="G7" i="2"/>
  <c r="H7" i="2"/>
  <c r="I7" i="2"/>
  <c r="U6" i="18" l="1"/>
  <c r="L6" i="18" s="1"/>
  <c r="AE6" i="18"/>
  <c r="AM6" i="18"/>
  <c r="N2" i="3"/>
  <c r="AA107" i="6"/>
  <c r="AA106" i="6"/>
  <c r="AA105" i="6"/>
  <c r="AA104" i="6"/>
  <c r="AA103" i="6"/>
  <c r="AA102" i="6"/>
  <c r="AA101" i="6"/>
  <c r="AA100" i="6"/>
  <c r="AA99" i="6"/>
  <c r="AA98" i="6"/>
  <c r="AA97" i="6"/>
  <c r="AA96" i="6"/>
  <c r="AA95" i="6"/>
  <c r="AA94" i="6"/>
  <c r="AA93" i="6"/>
  <c r="AA92" i="6"/>
  <c r="AA91" i="6"/>
  <c r="AA90" i="6"/>
  <c r="AA89" i="6"/>
  <c r="AA88" i="6"/>
  <c r="AA87" i="6"/>
  <c r="AA86" i="6"/>
  <c r="AA85" i="6"/>
  <c r="AA84" i="6"/>
  <c r="AA83" i="6"/>
  <c r="AA82" i="6"/>
  <c r="AA81" i="6"/>
  <c r="AA80" i="6"/>
  <c r="AA79" i="6"/>
  <c r="AA78" i="6"/>
  <c r="AA77" i="6"/>
  <c r="AA76" i="6"/>
  <c r="AA75" i="6"/>
  <c r="AA74" i="6"/>
  <c r="AA73" i="6"/>
  <c r="AA72" i="6"/>
  <c r="AA71" i="6"/>
  <c r="AA70" i="6"/>
  <c r="AA69" i="6"/>
  <c r="AA68" i="6"/>
  <c r="AA67" i="6"/>
  <c r="AA66" i="6"/>
  <c r="AA65" i="6"/>
  <c r="AA64"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30" i="6"/>
  <c r="AA29" i="6"/>
  <c r="AA28" i="6"/>
  <c r="AA27" i="6"/>
  <c r="AA26" i="6"/>
  <c r="AA25" i="6"/>
  <c r="AA24" i="6"/>
  <c r="AA23" i="6"/>
  <c r="AA22" i="6"/>
  <c r="AA21" i="6"/>
  <c r="AA20" i="6"/>
  <c r="AA19" i="6"/>
  <c r="AA18" i="6"/>
  <c r="AA17" i="6"/>
  <c r="AA16" i="6"/>
  <c r="AA15" i="6"/>
  <c r="AA14" i="6"/>
  <c r="AA13" i="6"/>
  <c r="AA12" i="6"/>
  <c r="AA11" i="6"/>
  <c r="BM2" i="3" l="1"/>
  <c r="BL2" i="3"/>
  <c r="BK2" i="3"/>
  <c r="BJ2" i="3"/>
  <c r="BI2" i="3"/>
  <c r="BH2" i="3"/>
  <c r="BB2" i="3"/>
  <c r="BF2" i="3"/>
  <c r="BG2" i="3"/>
  <c r="BE2" i="3"/>
  <c r="BD2" i="3"/>
  <c r="BC2" i="3"/>
  <c r="AD9" i="6"/>
  <c r="AE9" i="6"/>
  <c r="AI9" i="6"/>
  <c r="AD10" i="6"/>
  <c r="AE10" i="6"/>
  <c r="AI10" i="6"/>
  <c r="AD11" i="6"/>
  <c r="AE11" i="6"/>
  <c r="AI11" i="6"/>
  <c r="AD12" i="6"/>
  <c r="AE12" i="6"/>
  <c r="AI12" i="6"/>
  <c r="AD13" i="6"/>
  <c r="AE13" i="6"/>
  <c r="AI13" i="6"/>
  <c r="AD14" i="6"/>
  <c r="AE14" i="6"/>
  <c r="AI14" i="6"/>
  <c r="AD15" i="6"/>
  <c r="AE15" i="6"/>
  <c r="AI15" i="6"/>
  <c r="AD16" i="6"/>
  <c r="AE16" i="6"/>
  <c r="AI16" i="6"/>
  <c r="AD17" i="6"/>
  <c r="AE17" i="6"/>
  <c r="AI17" i="6"/>
  <c r="AD18" i="6"/>
  <c r="AE18" i="6"/>
  <c r="AI18" i="6"/>
  <c r="AD19" i="6"/>
  <c r="AE19" i="6"/>
  <c r="AI19" i="6"/>
  <c r="AD20" i="6"/>
  <c r="AE20" i="6"/>
  <c r="AI20" i="6"/>
  <c r="AD21" i="6"/>
  <c r="AE21" i="6"/>
  <c r="AI21" i="6"/>
  <c r="AD22" i="6"/>
  <c r="AE22" i="6"/>
  <c r="AI22" i="6"/>
  <c r="AD23" i="6"/>
  <c r="AE23" i="6"/>
  <c r="AI23" i="6"/>
  <c r="AD24" i="6"/>
  <c r="AE24" i="6"/>
  <c r="AI24" i="6"/>
  <c r="AD25" i="6"/>
  <c r="AE25" i="6"/>
  <c r="AI25" i="6"/>
  <c r="AD26" i="6"/>
  <c r="AE26" i="6"/>
  <c r="AI26" i="6"/>
  <c r="AD27" i="6"/>
  <c r="AI27" i="6"/>
  <c r="AD28" i="6"/>
  <c r="AE28" i="6"/>
  <c r="AI28" i="6"/>
  <c r="AD29" i="6"/>
  <c r="AE29" i="6"/>
  <c r="AI29" i="6"/>
  <c r="AD30" i="6"/>
  <c r="AE30" i="6"/>
  <c r="AI30" i="6"/>
  <c r="AD31" i="6"/>
  <c r="AE31" i="6"/>
  <c r="AI31" i="6"/>
  <c r="AD32" i="6"/>
  <c r="AE32" i="6"/>
  <c r="AI32" i="6"/>
  <c r="AD33" i="6"/>
  <c r="AE33" i="6"/>
  <c r="AI33" i="6"/>
  <c r="AD34" i="6"/>
  <c r="AE34" i="6"/>
  <c r="AI34" i="6"/>
  <c r="AD35" i="6"/>
  <c r="AE35" i="6"/>
  <c r="AI35" i="6"/>
  <c r="AD36" i="6"/>
  <c r="AE36" i="6"/>
  <c r="AI36" i="6"/>
  <c r="AD37" i="6"/>
  <c r="AE37" i="6"/>
  <c r="AI37" i="6"/>
  <c r="AD38" i="6"/>
  <c r="AE38" i="6"/>
  <c r="AI38" i="6"/>
  <c r="AD39" i="6"/>
  <c r="AE39" i="6"/>
  <c r="AI39" i="6"/>
  <c r="AD40" i="6"/>
  <c r="AE40" i="6"/>
  <c r="AI40" i="6"/>
  <c r="AD41" i="6"/>
  <c r="AE41" i="6"/>
  <c r="AI41" i="6"/>
  <c r="AD42" i="6"/>
  <c r="AE42" i="6"/>
  <c r="AI42" i="6"/>
  <c r="AD43" i="6"/>
  <c r="AE43" i="6"/>
  <c r="AI43" i="6"/>
  <c r="AD44" i="6"/>
  <c r="AE44" i="6"/>
  <c r="AI44" i="6"/>
  <c r="AD45" i="6"/>
  <c r="AE45" i="6"/>
  <c r="AI45" i="6"/>
  <c r="AD46" i="6"/>
  <c r="AE46" i="6"/>
  <c r="AI46" i="6"/>
  <c r="AD47" i="6"/>
  <c r="AE47" i="6"/>
  <c r="AI47" i="6"/>
  <c r="AD48" i="6"/>
  <c r="AE48" i="6"/>
  <c r="AI48" i="6"/>
  <c r="AD49" i="6"/>
  <c r="AE49" i="6"/>
  <c r="AI49" i="6"/>
  <c r="AD50" i="6"/>
  <c r="AE50" i="6"/>
  <c r="AI50" i="6"/>
  <c r="AD51" i="6"/>
  <c r="AE51" i="6"/>
  <c r="AI51" i="6"/>
  <c r="AD52" i="6"/>
  <c r="AE52" i="6"/>
  <c r="AI52" i="6"/>
  <c r="AD53" i="6"/>
  <c r="AE53" i="6"/>
  <c r="AI53" i="6"/>
  <c r="AD54" i="6"/>
  <c r="AE54" i="6"/>
  <c r="AI54" i="6"/>
  <c r="AD55" i="6"/>
  <c r="AE55" i="6"/>
  <c r="AI55" i="6"/>
  <c r="AD56" i="6"/>
  <c r="AE56" i="6"/>
  <c r="AI56" i="6"/>
  <c r="AD57" i="6"/>
  <c r="AE57" i="6"/>
  <c r="AI57" i="6"/>
  <c r="AD58" i="6"/>
  <c r="AE58" i="6"/>
  <c r="AI58" i="6"/>
  <c r="AD59" i="6"/>
  <c r="AE59" i="6"/>
  <c r="AI59" i="6"/>
  <c r="AD60" i="6"/>
  <c r="AE60" i="6"/>
  <c r="AI60" i="6"/>
  <c r="AD61" i="6"/>
  <c r="AE61" i="6"/>
  <c r="AI61" i="6"/>
  <c r="AD62" i="6"/>
  <c r="AE62" i="6"/>
  <c r="AI62" i="6"/>
  <c r="AD63" i="6"/>
  <c r="AE63" i="6"/>
  <c r="AI63" i="6"/>
  <c r="AD64" i="6"/>
  <c r="AE64" i="6"/>
  <c r="AI64" i="6"/>
  <c r="AD65" i="6"/>
  <c r="AE65" i="6"/>
  <c r="AI65" i="6"/>
  <c r="AD66" i="6"/>
  <c r="AE66" i="6"/>
  <c r="AI66" i="6"/>
  <c r="AD67" i="6"/>
  <c r="AE67" i="6"/>
  <c r="AI67" i="6"/>
  <c r="AD68" i="6"/>
  <c r="AE68" i="6"/>
  <c r="AI68" i="6"/>
  <c r="AD69" i="6"/>
  <c r="AE69" i="6"/>
  <c r="AI69" i="6"/>
  <c r="AD70" i="6"/>
  <c r="AE70" i="6"/>
  <c r="AI70" i="6"/>
  <c r="AD71" i="6"/>
  <c r="AE71" i="6"/>
  <c r="AI71" i="6"/>
  <c r="AD72" i="6"/>
  <c r="AE72" i="6"/>
  <c r="AI72" i="6"/>
  <c r="AD73" i="6"/>
  <c r="AE73" i="6"/>
  <c r="AI73" i="6"/>
  <c r="AD74" i="6"/>
  <c r="AE74" i="6"/>
  <c r="AI74" i="6"/>
  <c r="AD75" i="6"/>
  <c r="AE75" i="6"/>
  <c r="AI75" i="6"/>
  <c r="AD76" i="6"/>
  <c r="AE76" i="6"/>
  <c r="AI76" i="6"/>
  <c r="AD77" i="6"/>
  <c r="AE77" i="6"/>
  <c r="AI77" i="6"/>
  <c r="AD78" i="6"/>
  <c r="AE78" i="6"/>
  <c r="AI78" i="6"/>
  <c r="AD79" i="6"/>
  <c r="AE79" i="6"/>
  <c r="AI79" i="6"/>
  <c r="AD80" i="6"/>
  <c r="AE80" i="6"/>
  <c r="AI80" i="6"/>
  <c r="AD81" i="6"/>
  <c r="AE81" i="6"/>
  <c r="AI81" i="6"/>
  <c r="AD82" i="6"/>
  <c r="AE82" i="6"/>
  <c r="AI82" i="6"/>
  <c r="AD83" i="6"/>
  <c r="AE83" i="6"/>
  <c r="AI83" i="6"/>
  <c r="AD84" i="6"/>
  <c r="AE84" i="6"/>
  <c r="AI84" i="6"/>
  <c r="AD85" i="6"/>
  <c r="AE85" i="6"/>
  <c r="AI85" i="6"/>
  <c r="AD86" i="6"/>
  <c r="AE86" i="6"/>
  <c r="AI86" i="6"/>
  <c r="AD87" i="6"/>
  <c r="AE87" i="6"/>
  <c r="AI87" i="6"/>
  <c r="AD88" i="6"/>
  <c r="AE88" i="6"/>
  <c r="AI88" i="6"/>
  <c r="AD89" i="6"/>
  <c r="AE89" i="6"/>
  <c r="AI89" i="6"/>
  <c r="AD90" i="6"/>
  <c r="AE90" i="6"/>
  <c r="AI90" i="6"/>
  <c r="AD91" i="6"/>
  <c r="AE91" i="6"/>
  <c r="AI91" i="6"/>
  <c r="AD92" i="6"/>
  <c r="AE92" i="6"/>
  <c r="AI92" i="6"/>
  <c r="AD93" i="6"/>
  <c r="AE93" i="6"/>
  <c r="AI93" i="6"/>
  <c r="AD94" i="6"/>
  <c r="AE94" i="6"/>
  <c r="AI94" i="6"/>
  <c r="AD95" i="6"/>
  <c r="AE95" i="6"/>
  <c r="AI95" i="6"/>
  <c r="AD96" i="6"/>
  <c r="AE96" i="6"/>
  <c r="AI96" i="6"/>
  <c r="AD97" i="6"/>
  <c r="AE97" i="6"/>
  <c r="AI97" i="6"/>
  <c r="AD98" i="6"/>
  <c r="AE98" i="6"/>
  <c r="AI98" i="6"/>
  <c r="AD99" i="6"/>
  <c r="AE99" i="6"/>
  <c r="AI99" i="6"/>
  <c r="AD100" i="6"/>
  <c r="AE100" i="6"/>
  <c r="AI100" i="6"/>
  <c r="AD101" i="6"/>
  <c r="AE101" i="6"/>
  <c r="AI101" i="6"/>
  <c r="AD102" i="6"/>
  <c r="AE102" i="6"/>
  <c r="AI102" i="6"/>
  <c r="AD103" i="6"/>
  <c r="AE103" i="6"/>
  <c r="AI103" i="6"/>
  <c r="AD104" i="6"/>
  <c r="AE104" i="6"/>
  <c r="AI104" i="6"/>
  <c r="AD105" i="6"/>
  <c r="AE105" i="6"/>
  <c r="AI105" i="6"/>
  <c r="AD106" i="6"/>
  <c r="AE106" i="6"/>
  <c r="AI106" i="6"/>
  <c r="AD107" i="6"/>
  <c r="AE107" i="6"/>
  <c r="AI107" i="6"/>
  <c r="Y9" i="4"/>
  <c r="W10" i="4"/>
  <c r="X10" i="4"/>
  <c r="Y10" i="4"/>
  <c r="Z10" i="4"/>
  <c r="W11" i="4"/>
  <c r="X11" i="4"/>
  <c r="Y11" i="4"/>
  <c r="Z11" i="4"/>
  <c r="W12" i="4"/>
  <c r="X12" i="4"/>
  <c r="Y12" i="4"/>
  <c r="Z12" i="4"/>
  <c r="W13" i="4"/>
  <c r="X13" i="4"/>
  <c r="Y13" i="4"/>
  <c r="Z13" i="4"/>
  <c r="W14" i="4"/>
  <c r="X14" i="4"/>
  <c r="Y14" i="4"/>
  <c r="Z14" i="4"/>
  <c r="W15" i="4"/>
  <c r="X15" i="4"/>
  <c r="Y15" i="4"/>
  <c r="Z15" i="4"/>
  <c r="W16" i="4"/>
  <c r="X16" i="4"/>
  <c r="Y16" i="4"/>
  <c r="Z16" i="4"/>
  <c r="W17" i="4"/>
  <c r="X17" i="4"/>
  <c r="Y17" i="4"/>
  <c r="Z17" i="4"/>
  <c r="W18" i="4"/>
  <c r="X18" i="4"/>
  <c r="Y18" i="4"/>
  <c r="Z18" i="4"/>
  <c r="W19" i="4"/>
  <c r="X19" i="4"/>
  <c r="Y19" i="4"/>
  <c r="Z19" i="4"/>
  <c r="W20" i="4"/>
  <c r="X20" i="4"/>
  <c r="Y20" i="4"/>
  <c r="Z20" i="4"/>
  <c r="W21" i="4"/>
  <c r="X21" i="4"/>
  <c r="Y21" i="4"/>
  <c r="Z21" i="4"/>
  <c r="W22" i="4"/>
  <c r="X22" i="4"/>
  <c r="Y22" i="4"/>
  <c r="Z22" i="4"/>
  <c r="W23" i="4"/>
  <c r="X23" i="4"/>
  <c r="Y23" i="4"/>
  <c r="Z23" i="4"/>
  <c r="W24" i="4"/>
  <c r="X24" i="4"/>
  <c r="Y24" i="4"/>
  <c r="Z24" i="4"/>
  <c r="W25" i="4"/>
  <c r="X25" i="4"/>
  <c r="Y25" i="4"/>
  <c r="Z25" i="4"/>
  <c r="W26" i="4"/>
  <c r="X26" i="4"/>
  <c r="Y26" i="4"/>
  <c r="Z26" i="4"/>
  <c r="W27" i="4"/>
  <c r="X27" i="4"/>
  <c r="Y27" i="4"/>
  <c r="Z27" i="4"/>
  <c r="W28" i="4"/>
  <c r="X28" i="4"/>
  <c r="Y28" i="4"/>
  <c r="Z28" i="4"/>
  <c r="W29" i="4"/>
  <c r="X29" i="4"/>
  <c r="Y29" i="4"/>
  <c r="Z29" i="4"/>
  <c r="W30" i="4"/>
  <c r="X30" i="4"/>
  <c r="Y30" i="4"/>
  <c r="Z30" i="4"/>
  <c r="W31" i="4"/>
  <c r="X31" i="4"/>
  <c r="Y31" i="4"/>
  <c r="Z31" i="4"/>
  <c r="W32" i="4"/>
  <c r="X32" i="4"/>
  <c r="Y32" i="4"/>
  <c r="Z32" i="4"/>
  <c r="W33" i="4"/>
  <c r="X33" i="4"/>
  <c r="Y33" i="4"/>
  <c r="Z33" i="4"/>
  <c r="W34" i="4"/>
  <c r="X34" i="4"/>
  <c r="Y34" i="4"/>
  <c r="Z34" i="4"/>
  <c r="W35" i="4"/>
  <c r="X35" i="4"/>
  <c r="Y35" i="4"/>
  <c r="Z35" i="4"/>
  <c r="W36" i="4"/>
  <c r="X36" i="4"/>
  <c r="Y36" i="4"/>
  <c r="Z36" i="4"/>
  <c r="W37" i="4"/>
  <c r="X37" i="4"/>
  <c r="Y37" i="4"/>
  <c r="Z37" i="4"/>
  <c r="W38" i="4"/>
  <c r="X38" i="4"/>
  <c r="Y38" i="4"/>
  <c r="Z38" i="4"/>
  <c r="W39" i="4"/>
  <c r="X39" i="4"/>
  <c r="Y39" i="4"/>
  <c r="Z39" i="4"/>
  <c r="W40" i="4"/>
  <c r="X40" i="4"/>
  <c r="Y40" i="4"/>
  <c r="Z40" i="4"/>
  <c r="W41" i="4"/>
  <c r="X41" i="4"/>
  <c r="Y41" i="4"/>
  <c r="Z41" i="4"/>
  <c r="W42" i="4"/>
  <c r="X42" i="4"/>
  <c r="Y42" i="4"/>
  <c r="Z42" i="4"/>
  <c r="W43" i="4"/>
  <c r="X43" i="4"/>
  <c r="Y43" i="4"/>
  <c r="Z43" i="4"/>
  <c r="W44" i="4"/>
  <c r="X44" i="4"/>
  <c r="Y44" i="4"/>
  <c r="Z44" i="4"/>
  <c r="W45" i="4"/>
  <c r="X45" i="4"/>
  <c r="Y45" i="4"/>
  <c r="Z45" i="4"/>
  <c r="W46" i="4"/>
  <c r="X46" i="4"/>
  <c r="Y46" i="4"/>
  <c r="Z46" i="4"/>
  <c r="W47" i="4"/>
  <c r="X47" i="4"/>
  <c r="Y47" i="4"/>
  <c r="Z47" i="4"/>
  <c r="W48" i="4"/>
  <c r="X48" i="4"/>
  <c r="Y48" i="4"/>
  <c r="Z48" i="4"/>
  <c r="W49" i="4"/>
  <c r="X49" i="4"/>
  <c r="Y49" i="4"/>
  <c r="Z49" i="4"/>
  <c r="W50" i="4"/>
  <c r="X50" i="4"/>
  <c r="Y50" i="4"/>
  <c r="Z50" i="4"/>
  <c r="W51" i="4"/>
  <c r="X51" i="4"/>
  <c r="Y51" i="4"/>
  <c r="Z51" i="4"/>
  <c r="W52" i="4"/>
  <c r="X52" i="4"/>
  <c r="Y52" i="4"/>
  <c r="Z52" i="4"/>
  <c r="W53" i="4"/>
  <c r="X53" i="4"/>
  <c r="Y53" i="4"/>
  <c r="Z53" i="4"/>
  <c r="W54" i="4"/>
  <c r="X54" i="4"/>
  <c r="Y54" i="4"/>
  <c r="Z54" i="4"/>
  <c r="W55" i="4"/>
  <c r="X55" i="4"/>
  <c r="Y55" i="4"/>
  <c r="Z55" i="4"/>
  <c r="W56" i="4"/>
  <c r="X56" i="4"/>
  <c r="Y56" i="4"/>
  <c r="Z56" i="4"/>
  <c r="W57" i="4"/>
  <c r="X57" i="4"/>
  <c r="Y57" i="4"/>
  <c r="Z57" i="4"/>
  <c r="Y8" i="4"/>
  <c r="U9" i="5"/>
  <c r="W9" i="5"/>
  <c r="X9" i="5"/>
  <c r="W10" i="5"/>
  <c r="X10" i="5"/>
  <c r="S11" i="5"/>
  <c r="T11" i="5"/>
  <c r="U11" i="5"/>
  <c r="V11" i="5"/>
  <c r="W11" i="5"/>
  <c r="X11" i="5"/>
  <c r="S12" i="5"/>
  <c r="T12" i="5"/>
  <c r="U12" i="5"/>
  <c r="V12" i="5"/>
  <c r="W12" i="5"/>
  <c r="X12" i="5"/>
  <c r="S13" i="5"/>
  <c r="T13" i="5"/>
  <c r="U13" i="5"/>
  <c r="V13" i="5"/>
  <c r="W13" i="5"/>
  <c r="X13" i="5"/>
  <c r="S14" i="5"/>
  <c r="T14" i="5"/>
  <c r="U14" i="5"/>
  <c r="V14" i="5"/>
  <c r="W14" i="5"/>
  <c r="X14" i="5"/>
  <c r="S15" i="5"/>
  <c r="T15" i="5"/>
  <c r="U15" i="5"/>
  <c r="V15" i="5"/>
  <c r="W15" i="5"/>
  <c r="X15" i="5"/>
  <c r="S16" i="5"/>
  <c r="T16" i="5"/>
  <c r="U16" i="5"/>
  <c r="V16" i="5"/>
  <c r="W16" i="5"/>
  <c r="X16" i="5"/>
  <c r="S17" i="5"/>
  <c r="T17" i="5"/>
  <c r="U17" i="5"/>
  <c r="V17" i="5"/>
  <c r="W17" i="5"/>
  <c r="X17" i="5"/>
  <c r="S18" i="5"/>
  <c r="T18" i="5"/>
  <c r="U18" i="5"/>
  <c r="V18" i="5"/>
  <c r="W18" i="5"/>
  <c r="X18" i="5"/>
  <c r="S19" i="5"/>
  <c r="T19" i="5"/>
  <c r="U19" i="5"/>
  <c r="V19" i="5"/>
  <c r="W19" i="5"/>
  <c r="X19" i="5"/>
  <c r="S20" i="5"/>
  <c r="T20" i="5"/>
  <c r="U20" i="5"/>
  <c r="V20" i="5"/>
  <c r="W20" i="5"/>
  <c r="X20" i="5"/>
  <c r="S21" i="5"/>
  <c r="T21" i="5"/>
  <c r="U21" i="5"/>
  <c r="V21" i="5"/>
  <c r="W21" i="5"/>
  <c r="X21" i="5"/>
  <c r="S22" i="5"/>
  <c r="T22" i="5"/>
  <c r="U22" i="5"/>
  <c r="V22" i="5"/>
  <c r="W22" i="5"/>
  <c r="X22" i="5"/>
  <c r="S23" i="5"/>
  <c r="T23" i="5"/>
  <c r="U23" i="5"/>
  <c r="V23" i="5"/>
  <c r="W23" i="5"/>
  <c r="X23" i="5"/>
  <c r="S24" i="5"/>
  <c r="T24" i="5"/>
  <c r="U24" i="5"/>
  <c r="V24" i="5"/>
  <c r="W24" i="5"/>
  <c r="X24" i="5"/>
  <c r="S25" i="5"/>
  <c r="T25" i="5"/>
  <c r="U25" i="5"/>
  <c r="V25" i="5"/>
  <c r="W25" i="5"/>
  <c r="X25" i="5"/>
  <c r="S26" i="5"/>
  <c r="T26" i="5"/>
  <c r="U26" i="5"/>
  <c r="V26" i="5"/>
  <c r="W26" i="5"/>
  <c r="X26" i="5"/>
  <c r="S27" i="5"/>
  <c r="T27" i="5"/>
  <c r="U27" i="5"/>
  <c r="V27" i="5"/>
  <c r="W27" i="5"/>
  <c r="X27" i="5"/>
  <c r="S28" i="5"/>
  <c r="T28" i="5"/>
  <c r="U28" i="5"/>
  <c r="V28" i="5"/>
  <c r="W28" i="5"/>
  <c r="X28" i="5"/>
  <c r="S29" i="5"/>
  <c r="T29" i="5"/>
  <c r="U29" i="5"/>
  <c r="V29" i="5"/>
  <c r="W29" i="5"/>
  <c r="X29" i="5"/>
  <c r="S30" i="5"/>
  <c r="T30" i="5"/>
  <c r="U30" i="5"/>
  <c r="V30" i="5"/>
  <c r="W30" i="5"/>
  <c r="X30" i="5"/>
  <c r="S31" i="5"/>
  <c r="T31" i="5"/>
  <c r="U31" i="5"/>
  <c r="V31" i="5"/>
  <c r="W31" i="5"/>
  <c r="X31" i="5"/>
  <c r="S32" i="5"/>
  <c r="T32" i="5"/>
  <c r="U32" i="5"/>
  <c r="V32" i="5"/>
  <c r="W32" i="5"/>
  <c r="X32" i="5"/>
  <c r="S33" i="5"/>
  <c r="T33" i="5"/>
  <c r="U33" i="5"/>
  <c r="V33" i="5"/>
  <c r="W33" i="5"/>
  <c r="X33" i="5"/>
  <c r="S34" i="5"/>
  <c r="T34" i="5"/>
  <c r="U34" i="5"/>
  <c r="V34" i="5"/>
  <c r="W34" i="5"/>
  <c r="X34" i="5"/>
  <c r="S35" i="5"/>
  <c r="T35" i="5"/>
  <c r="U35" i="5"/>
  <c r="V35" i="5"/>
  <c r="W35" i="5"/>
  <c r="X35" i="5"/>
  <c r="S36" i="5"/>
  <c r="T36" i="5"/>
  <c r="U36" i="5"/>
  <c r="V36" i="5"/>
  <c r="W36" i="5"/>
  <c r="X36" i="5"/>
  <c r="S37" i="5"/>
  <c r="T37" i="5"/>
  <c r="U37" i="5"/>
  <c r="V37" i="5"/>
  <c r="W37" i="5"/>
  <c r="X37" i="5"/>
  <c r="S38" i="5"/>
  <c r="T38" i="5"/>
  <c r="U38" i="5"/>
  <c r="V38" i="5"/>
  <c r="W38" i="5"/>
  <c r="X38" i="5"/>
  <c r="S39" i="5"/>
  <c r="T39" i="5"/>
  <c r="U39" i="5"/>
  <c r="V39" i="5"/>
  <c r="W39" i="5"/>
  <c r="X39" i="5"/>
  <c r="S40" i="5"/>
  <c r="T40" i="5"/>
  <c r="U40" i="5"/>
  <c r="V40" i="5"/>
  <c r="W40" i="5"/>
  <c r="X40" i="5"/>
  <c r="S41" i="5"/>
  <c r="T41" i="5"/>
  <c r="U41" i="5"/>
  <c r="V41" i="5"/>
  <c r="W41" i="5"/>
  <c r="X41" i="5"/>
  <c r="S42" i="5"/>
  <c r="T42" i="5"/>
  <c r="U42" i="5"/>
  <c r="V42" i="5"/>
  <c r="W42" i="5"/>
  <c r="X42" i="5"/>
  <c r="S43" i="5"/>
  <c r="T43" i="5"/>
  <c r="U43" i="5"/>
  <c r="V43" i="5"/>
  <c r="W43" i="5"/>
  <c r="X43" i="5"/>
  <c r="S44" i="5"/>
  <c r="T44" i="5"/>
  <c r="U44" i="5"/>
  <c r="V44" i="5"/>
  <c r="W44" i="5"/>
  <c r="X44" i="5"/>
  <c r="S45" i="5"/>
  <c r="T45" i="5"/>
  <c r="U45" i="5"/>
  <c r="V45" i="5"/>
  <c r="W45" i="5"/>
  <c r="X45" i="5"/>
  <c r="S46" i="5"/>
  <c r="T46" i="5"/>
  <c r="U46" i="5"/>
  <c r="V46" i="5"/>
  <c r="W46" i="5"/>
  <c r="X46" i="5"/>
  <c r="S47" i="5"/>
  <c r="T47" i="5"/>
  <c r="U47" i="5"/>
  <c r="V47" i="5"/>
  <c r="W47" i="5"/>
  <c r="X47" i="5"/>
  <c r="S48" i="5"/>
  <c r="T48" i="5"/>
  <c r="U48" i="5"/>
  <c r="V48" i="5"/>
  <c r="W48" i="5"/>
  <c r="X48" i="5"/>
  <c r="S49" i="5"/>
  <c r="T49" i="5"/>
  <c r="U49" i="5"/>
  <c r="V49" i="5"/>
  <c r="W49" i="5"/>
  <c r="X49" i="5"/>
  <c r="S50" i="5"/>
  <c r="T50" i="5"/>
  <c r="U50" i="5"/>
  <c r="V50" i="5"/>
  <c r="W50" i="5"/>
  <c r="X50" i="5"/>
  <c r="S51" i="5"/>
  <c r="T51" i="5"/>
  <c r="U51" i="5"/>
  <c r="V51" i="5"/>
  <c r="W51" i="5"/>
  <c r="X51" i="5"/>
  <c r="S52" i="5"/>
  <c r="T52" i="5"/>
  <c r="U52" i="5"/>
  <c r="V52" i="5"/>
  <c r="W52" i="5"/>
  <c r="X52" i="5"/>
  <c r="S53" i="5"/>
  <c r="T53" i="5"/>
  <c r="U53" i="5"/>
  <c r="V53" i="5"/>
  <c r="W53" i="5"/>
  <c r="X53" i="5"/>
  <c r="S54" i="5"/>
  <c r="T54" i="5"/>
  <c r="U54" i="5"/>
  <c r="V54" i="5"/>
  <c r="W54" i="5"/>
  <c r="X54" i="5"/>
  <c r="S55" i="5"/>
  <c r="T55" i="5"/>
  <c r="U55" i="5"/>
  <c r="V55" i="5"/>
  <c r="W55" i="5"/>
  <c r="X55" i="5"/>
  <c r="S56" i="5"/>
  <c r="T56" i="5"/>
  <c r="U56" i="5"/>
  <c r="V56" i="5"/>
  <c r="W56" i="5"/>
  <c r="X56" i="5"/>
  <c r="S57" i="5"/>
  <c r="T57" i="5"/>
  <c r="U57" i="5"/>
  <c r="V57" i="5"/>
  <c r="W57" i="5"/>
  <c r="X57" i="5"/>
  <c r="X8" i="5"/>
  <c r="W8" i="5"/>
  <c r="AI8" i="6"/>
  <c r="AD8" i="6"/>
  <c r="Z2" i="3"/>
  <c r="Y2" i="3"/>
  <c r="X2" i="3"/>
  <c r="W2" i="3"/>
  <c r="V2" i="3"/>
  <c r="U2" i="3"/>
  <c r="T2" i="3"/>
  <c r="S2" i="3"/>
  <c r="R2" i="3"/>
  <c r="Q2" i="3"/>
  <c r="L8" i="5"/>
  <c r="S8" i="5" s="1"/>
  <c r="AQ9" i="4"/>
  <c r="AQ10" i="4"/>
  <c r="AQ11" i="4"/>
  <c r="AQ12" i="4"/>
  <c r="AQ13" i="4"/>
  <c r="AQ14" i="4"/>
  <c r="AQ15" i="4"/>
  <c r="AQ16" i="4"/>
  <c r="AQ17" i="4"/>
  <c r="AQ18" i="4"/>
  <c r="AQ19" i="4"/>
  <c r="AQ20" i="4"/>
  <c r="AQ21" i="4"/>
  <c r="AQ22" i="4"/>
  <c r="AQ23" i="4"/>
  <c r="AQ24" i="4"/>
  <c r="AQ25" i="4"/>
  <c r="AQ26" i="4"/>
  <c r="AQ27" i="4"/>
  <c r="AQ28" i="4"/>
  <c r="AQ29" i="4"/>
  <c r="AQ30" i="4"/>
  <c r="AQ31" i="4"/>
  <c r="AQ32" i="4"/>
  <c r="AQ33" i="4"/>
  <c r="AQ34" i="4"/>
  <c r="AQ35" i="4"/>
  <c r="AQ36" i="4"/>
  <c r="AQ37" i="4"/>
  <c r="AQ38" i="4"/>
  <c r="AQ39" i="4"/>
  <c r="AQ40" i="4"/>
  <c r="AQ41" i="4"/>
  <c r="AQ42" i="4"/>
  <c r="AQ43" i="4"/>
  <c r="AQ44" i="4"/>
  <c r="AQ45" i="4"/>
  <c r="AQ46" i="4"/>
  <c r="AQ47" i="4"/>
  <c r="AQ48" i="4"/>
  <c r="AQ49" i="4"/>
  <c r="AQ50" i="4"/>
  <c r="AQ51" i="4"/>
  <c r="AQ52" i="4"/>
  <c r="AQ53" i="4"/>
  <c r="AQ54" i="4"/>
  <c r="AQ55" i="4"/>
  <c r="AQ56" i="4"/>
  <c r="AQ57" i="4"/>
  <c r="N9" i="4"/>
  <c r="W9" i="4" s="1"/>
  <c r="O9" i="4"/>
  <c r="X9" i="4" s="1"/>
  <c r="P9" i="4"/>
  <c r="Q9" i="4"/>
  <c r="R9" i="4"/>
  <c r="U9" i="4"/>
  <c r="Z9" i="4" s="1"/>
  <c r="N10" i="4"/>
  <c r="O10" i="4"/>
  <c r="P10" i="4"/>
  <c r="Q10" i="4"/>
  <c r="R10" i="4"/>
  <c r="U10" i="4"/>
  <c r="N11" i="4"/>
  <c r="O11" i="4"/>
  <c r="P11" i="4"/>
  <c r="Q11" i="4"/>
  <c r="R11" i="4"/>
  <c r="U11" i="4"/>
  <c r="N12" i="4"/>
  <c r="O12" i="4"/>
  <c r="P12" i="4"/>
  <c r="Q12" i="4"/>
  <c r="R12" i="4"/>
  <c r="U12" i="4"/>
  <c r="N13" i="4"/>
  <c r="O13" i="4"/>
  <c r="P13" i="4"/>
  <c r="Q13" i="4"/>
  <c r="R13" i="4"/>
  <c r="U13" i="4"/>
  <c r="N14" i="4"/>
  <c r="O14" i="4"/>
  <c r="P14" i="4"/>
  <c r="Q14" i="4"/>
  <c r="R14" i="4"/>
  <c r="U14" i="4"/>
  <c r="N15" i="4"/>
  <c r="O15" i="4"/>
  <c r="P15" i="4"/>
  <c r="Q15" i="4"/>
  <c r="R15" i="4"/>
  <c r="U15" i="4"/>
  <c r="N16" i="4"/>
  <c r="O16" i="4"/>
  <c r="P16" i="4"/>
  <c r="Q16" i="4"/>
  <c r="R16" i="4"/>
  <c r="U16" i="4"/>
  <c r="N17" i="4"/>
  <c r="O17" i="4"/>
  <c r="P17" i="4"/>
  <c r="Q17" i="4"/>
  <c r="R17" i="4"/>
  <c r="U17" i="4"/>
  <c r="N18" i="4"/>
  <c r="O18" i="4"/>
  <c r="P18" i="4"/>
  <c r="Q18" i="4"/>
  <c r="R18" i="4"/>
  <c r="U18" i="4"/>
  <c r="N19" i="4"/>
  <c r="O19" i="4"/>
  <c r="P19" i="4"/>
  <c r="Q19" i="4"/>
  <c r="R19" i="4"/>
  <c r="U19" i="4"/>
  <c r="N20" i="4"/>
  <c r="O20" i="4"/>
  <c r="P20" i="4"/>
  <c r="Q20" i="4"/>
  <c r="R20" i="4"/>
  <c r="U20" i="4"/>
  <c r="N21" i="4"/>
  <c r="O21" i="4"/>
  <c r="P21" i="4"/>
  <c r="Q21" i="4"/>
  <c r="R21" i="4"/>
  <c r="U21" i="4"/>
  <c r="N22" i="4"/>
  <c r="O22" i="4"/>
  <c r="P22" i="4"/>
  <c r="Q22" i="4"/>
  <c r="R22" i="4"/>
  <c r="U22" i="4"/>
  <c r="N23" i="4"/>
  <c r="O23" i="4"/>
  <c r="P23" i="4"/>
  <c r="Q23" i="4"/>
  <c r="R23" i="4"/>
  <c r="U23" i="4"/>
  <c r="N24" i="4"/>
  <c r="O24" i="4"/>
  <c r="P24" i="4"/>
  <c r="Q24" i="4"/>
  <c r="R24" i="4"/>
  <c r="U24" i="4"/>
  <c r="N25" i="4"/>
  <c r="O25" i="4"/>
  <c r="P25" i="4"/>
  <c r="Q25" i="4"/>
  <c r="R25" i="4"/>
  <c r="U25" i="4"/>
  <c r="N26" i="4"/>
  <c r="O26" i="4"/>
  <c r="P26" i="4"/>
  <c r="Q26" i="4"/>
  <c r="R26" i="4"/>
  <c r="U26" i="4"/>
  <c r="N27" i="4"/>
  <c r="O27" i="4"/>
  <c r="P27" i="4"/>
  <c r="Q27" i="4"/>
  <c r="R27" i="4"/>
  <c r="U27" i="4"/>
  <c r="N28" i="4"/>
  <c r="O28" i="4"/>
  <c r="P28" i="4"/>
  <c r="Q28" i="4"/>
  <c r="R28" i="4"/>
  <c r="U28" i="4"/>
  <c r="N29" i="4"/>
  <c r="O29" i="4"/>
  <c r="P29" i="4"/>
  <c r="Q29" i="4"/>
  <c r="R29" i="4"/>
  <c r="U29" i="4"/>
  <c r="N30" i="4"/>
  <c r="O30" i="4"/>
  <c r="P30" i="4"/>
  <c r="Q30" i="4"/>
  <c r="R30" i="4"/>
  <c r="U30" i="4"/>
  <c r="N31" i="4"/>
  <c r="O31" i="4"/>
  <c r="P31" i="4"/>
  <c r="Q31" i="4"/>
  <c r="R31" i="4"/>
  <c r="U31" i="4"/>
  <c r="N32" i="4"/>
  <c r="O32" i="4"/>
  <c r="P32" i="4"/>
  <c r="Q32" i="4"/>
  <c r="R32" i="4"/>
  <c r="U32" i="4"/>
  <c r="N33" i="4"/>
  <c r="O33" i="4"/>
  <c r="P33" i="4"/>
  <c r="Q33" i="4"/>
  <c r="R33" i="4"/>
  <c r="U33" i="4"/>
  <c r="N34" i="4"/>
  <c r="O34" i="4"/>
  <c r="P34" i="4"/>
  <c r="Q34" i="4"/>
  <c r="R34" i="4"/>
  <c r="U34" i="4"/>
  <c r="N35" i="4"/>
  <c r="O35" i="4"/>
  <c r="P35" i="4"/>
  <c r="Q35" i="4"/>
  <c r="R35" i="4"/>
  <c r="U35" i="4"/>
  <c r="N36" i="4"/>
  <c r="O36" i="4"/>
  <c r="P36" i="4"/>
  <c r="Q36" i="4"/>
  <c r="R36" i="4"/>
  <c r="U36" i="4"/>
  <c r="N37" i="4"/>
  <c r="O37" i="4"/>
  <c r="P37" i="4"/>
  <c r="Q37" i="4"/>
  <c r="R37" i="4"/>
  <c r="U37" i="4"/>
  <c r="N38" i="4"/>
  <c r="O38" i="4"/>
  <c r="P38" i="4"/>
  <c r="Q38" i="4"/>
  <c r="R38" i="4"/>
  <c r="U38" i="4"/>
  <c r="N39" i="4"/>
  <c r="O39" i="4"/>
  <c r="P39" i="4"/>
  <c r="Q39" i="4"/>
  <c r="R39" i="4"/>
  <c r="U39" i="4"/>
  <c r="N40" i="4"/>
  <c r="O40" i="4"/>
  <c r="P40" i="4"/>
  <c r="Q40" i="4"/>
  <c r="R40" i="4"/>
  <c r="U40" i="4"/>
  <c r="N41" i="4"/>
  <c r="O41" i="4"/>
  <c r="P41" i="4"/>
  <c r="Q41" i="4"/>
  <c r="R41" i="4"/>
  <c r="U41" i="4"/>
  <c r="N42" i="4"/>
  <c r="O42" i="4"/>
  <c r="P42" i="4"/>
  <c r="Q42" i="4"/>
  <c r="R42" i="4"/>
  <c r="U42" i="4"/>
  <c r="N43" i="4"/>
  <c r="O43" i="4"/>
  <c r="P43" i="4"/>
  <c r="Q43" i="4"/>
  <c r="R43" i="4"/>
  <c r="U43" i="4"/>
  <c r="N44" i="4"/>
  <c r="O44" i="4"/>
  <c r="P44" i="4"/>
  <c r="Q44" i="4"/>
  <c r="R44" i="4"/>
  <c r="U44" i="4"/>
  <c r="N45" i="4"/>
  <c r="O45" i="4"/>
  <c r="P45" i="4"/>
  <c r="Q45" i="4"/>
  <c r="R45" i="4"/>
  <c r="U45" i="4"/>
  <c r="N46" i="4"/>
  <c r="O46" i="4"/>
  <c r="P46" i="4"/>
  <c r="Q46" i="4"/>
  <c r="R46" i="4"/>
  <c r="U46" i="4"/>
  <c r="N47" i="4"/>
  <c r="O47" i="4"/>
  <c r="P47" i="4"/>
  <c r="Q47" i="4"/>
  <c r="R47" i="4"/>
  <c r="U47" i="4"/>
  <c r="N48" i="4"/>
  <c r="O48" i="4"/>
  <c r="P48" i="4"/>
  <c r="Q48" i="4"/>
  <c r="R48" i="4"/>
  <c r="U48" i="4"/>
  <c r="N49" i="4"/>
  <c r="O49" i="4"/>
  <c r="P49" i="4"/>
  <c r="Q49" i="4"/>
  <c r="R49" i="4"/>
  <c r="U49" i="4"/>
  <c r="N50" i="4"/>
  <c r="O50" i="4"/>
  <c r="P50" i="4"/>
  <c r="Q50" i="4"/>
  <c r="R50" i="4"/>
  <c r="U50" i="4"/>
  <c r="N51" i="4"/>
  <c r="O51" i="4"/>
  <c r="P51" i="4"/>
  <c r="Q51" i="4"/>
  <c r="R51" i="4"/>
  <c r="U51" i="4"/>
  <c r="N52" i="4"/>
  <c r="O52" i="4"/>
  <c r="P52" i="4"/>
  <c r="Q52" i="4"/>
  <c r="R52" i="4"/>
  <c r="U52" i="4"/>
  <c r="N53" i="4"/>
  <c r="O53" i="4"/>
  <c r="P53" i="4"/>
  <c r="Q53" i="4"/>
  <c r="R53" i="4"/>
  <c r="U53" i="4"/>
  <c r="N54" i="4"/>
  <c r="O54" i="4"/>
  <c r="P54" i="4"/>
  <c r="Q54" i="4"/>
  <c r="R54" i="4"/>
  <c r="U54" i="4"/>
  <c r="N55" i="4"/>
  <c r="O55" i="4"/>
  <c r="P55" i="4"/>
  <c r="Q55" i="4"/>
  <c r="R55" i="4"/>
  <c r="U55" i="4"/>
  <c r="N56" i="4"/>
  <c r="O56" i="4"/>
  <c r="P56" i="4"/>
  <c r="Q56" i="4"/>
  <c r="R56" i="4"/>
  <c r="U56" i="4"/>
  <c r="N57" i="4"/>
  <c r="O57" i="4"/>
  <c r="P57" i="4"/>
  <c r="Q57" i="4"/>
  <c r="R57" i="4"/>
  <c r="U57" i="4"/>
  <c r="U8" i="4"/>
  <c r="Z8" i="4" s="1"/>
  <c r="O8" i="4"/>
  <c r="N8" i="4"/>
  <c r="AP8" i="4" s="1"/>
  <c r="L9" i="5"/>
  <c r="M9" i="5" s="1"/>
  <c r="N9" i="5"/>
  <c r="O9" i="5"/>
  <c r="V9" i="5" s="1"/>
  <c r="P9" i="5"/>
  <c r="Q9" i="5"/>
  <c r="L10" i="5"/>
  <c r="M10" i="5" s="1"/>
  <c r="T10" i="5" s="1"/>
  <c r="N10" i="5"/>
  <c r="O10" i="5"/>
  <c r="U10" i="5" s="1"/>
  <c r="P10" i="5"/>
  <c r="Q10" i="5"/>
  <c r="R10" i="5"/>
  <c r="L11" i="5"/>
  <c r="M11" i="5"/>
  <c r="N11" i="5"/>
  <c r="O11" i="5"/>
  <c r="P11" i="5"/>
  <c r="Q11" i="5"/>
  <c r="L12" i="5"/>
  <c r="M12" i="5" s="1"/>
  <c r="N12" i="5"/>
  <c r="O12" i="5"/>
  <c r="P12" i="5"/>
  <c r="Q12" i="5"/>
  <c r="R12" i="5"/>
  <c r="L13" i="5"/>
  <c r="M13" i="5" s="1"/>
  <c r="N13" i="5"/>
  <c r="O13" i="5"/>
  <c r="P13" i="5"/>
  <c r="Q13" i="5"/>
  <c r="R13" i="5"/>
  <c r="L14" i="5"/>
  <c r="M14" i="5" s="1"/>
  <c r="N14" i="5"/>
  <c r="O14" i="5"/>
  <c r="P14" i="5"/>
  <c r="Q14" i="5"/>
  <c r="L15" i="5"/>
  <c r="M15" i="5"/>
  <c r="N15" i="5"/>
  <c r="O15" i="5"/>
  <c r="P15" i="5"/>
  <c r="Q15" i="5"/>
  <c r="L16" i="5"/>
  <c r="N16" i="5"/>
  <c r="O16" i="5"/>
  <c r="P16" i="5"/>
  <c r="Q16" i="5"/>
  <c r="R16" i="5" s="1"/>
  <c r="L17" i="5"/>
  <c r="M17" i="5" s="1"/>
  <c r="N17" i="5"/>
  <c r="O17" i="5"/>
  <c r="P17" i="5"/>
  <c r="Q17" i="5"/>
  <c r="R17" i="5"/>
  <c r="L18" i="5"/>
  <c r="N18" i="5"/>
  <c r="O18" i="5"/>
  <c r="P18" i="5"/>
  <c r="Q18" i="5"/>
  <c r="R18" i="5"/>
  <c r="L19" i="5"/>
  <c r="N19" i="5"/>
  <c r="O19" i="5"/>
  <c r="P19" i="5"/>
  <c r="Q19" i="5"/>
  <c r="R19" i="5" s="1"/>
  <c r="L20" i="5"/>
  <c r="N20" i="5"/>
  <c r="O20" i="5"/>
  <c r="P20" i="5"/>
  <c r="Q20" i="5"/>
  <c r="R20" i="5"/>
  <c r="L21" i="5"/>
  <c r="M21" i="5"/>
  <c r="N21" i="5"/>
  <c r="O21" i="5"/>
  <c r="P21" i="5"/>
  <c r="Q21" i="5"/>
  <c r="R21" i="5"/>
  <c r="L22" i="5"/>
  <c r="M22" i="5"/>
  <c r="N22" i="5"/>
  <c r="O22" i="5"/>
  <c r="P22" i="5"/>
  <c r="Q22" i="5"/>
  <c r="R22" i="5"/>
  <c r="L23" i="5"/>
  <c r="M23" i="5"/>
  <c r="N23" i="5"/>
  <c r="O23" i="5"/>
  <c r="P23" i="5"/>
  <c r="Q23" i="5"/>
  <c r="L24" i="5"/>
  <c r="N24" i="5"/>
  <c r="O24" i="5"/>
  <c r="P24" i="5"/>
  <c r="Q24" i="5"/>
  <c r="R24" i="5" s="1"/>
  <c r="L25" i="5"/>
  <c r="M25" i="5" s="1"/>
  <c r="N25" i="5"/>
  <c r="O25" i="5"/>
  <c r="P25" i="5"/>
  <c r="Q25" i="5"/>
  <c r="R25" i="5"/>
  <c r="L26" i="5"/>
  <c r="M26" i="5"/>
  <c r="N26" i="5"/>
  <c r="O26" i="5"/>
  <c r="P26" i="5"/>
  <c r="Q26" i="5"/>
  <c r="R26" i="5"/>
  <c r="L27" i="5"/>
  <c r="M27" i="5"/>
  <c r="N27" i="5"/>
  <c r="O27" i="5"/>
  <c r="P27" i="5"/>
  <c r="Q27" i="5"/>
  <c r="R27" i="5" s="1"/>
  <c r="L28" i="5"/>
  <c r="M28" i="5" s="1"/>
  <c r="N28" i="5"/>
  <c r="O28" i="5"/>
  <c r="P28" i="5"/>
  <c r="Q28" i="5"/>
  <c r="R28" i="5"/>
  <c r="L29" i="5"/>
  <c r="M29" i="5"/>
  <c r="N29" i="5"/>
  <c r="O29" i="5"/>
  <c r="P29" i="5"/>
  <c r="Q29" i="5"/>
  <c r="R29" i="5"/>
  <c r="L30" i="5"/>
  <c r="M30" i="5"/>
  <c r="N30" i="5"/>
  <c r="O30" i="5"/>
  <c r="P30" i="5"/>
  <c r="Q30" i="5"/>
  <c r="R30" i="5"/>
  <c r="L31" i="5"/>
  <c r="M31" i="5"/>
  <c r="N31" i="5"/>
  <c r="O31" i="5"/>
  <c r="P31" i="5"/>
  <c r="Q31" i="5"/>
  <c r="L32" i="5"/>
  <c r="N32" i="5"/>
  <c r="O32" i="5"/>
  <c r="P32" i="5"/>
  <c r="Q32" i="5"/>
  <c r="R32" i="5" s="1"/>
  <c r="L33" i="5"/>
  <c r="M33" i="5" s="1"/>
  <c r="N33" i="5"/>
  <c r="O33" i="5"/>
  <c r="P33" i="5"/>
  <c r="Q33" i="5"/>
  <c r="R33" i="5"/>
  <c r="L34" i="5"/>
  <c r="M34" i="5"/>
  <c r="N34" i="5"/>
  <c r="O34" i="5"/>
  <c r="P34" i="5"/>
  <c r="Q34" i="5"/>
  <c r="R34" i="5"/>
  <c r="L35" i="5"/>
  <c r="M35" i="5"/>
  <c r="N35" i="5"/>
  <c r="O35" i="5"/>
  <c r="P35" i="5"/>
  <c r="Q35" i="5"/>
  <c r="R35" i="5" s="1"/>
  <c r="L36" i="5"/>
  <c r="M36" i="5" s="1"/>
  <c r="N36" i="5"/>
  <c r="O36" i="5"/>
  <c r="P36" i="5"/>
  <c r="Q36" i="5"/>
  <c r="R36" i="5"/>
  <c r="L37" i="5"/>
  <c r="M37" i="5"/>
  <c r="N37" i="5"/>
  <c r="O37" i="5"/>
  <c r="P37" i="5"/>
  <c r="Q37" i="5"/>
  <c r="R37" i="5"/>
  <c r="L38" i="5"/>
  <c r="M38" i="5"/>
  <c r="N38" i="5"/>
  <c r="O38" i="5"/>
  <c r="P38" i="5"/>
  <c r="Q38" i="5"/>
  <c r="R38" i="5"/>
  <c r="L39" i="5"/>
  <c r="M39" i="5"/>
  <c r="N39" i="5"/>
  <c r="O39" i="5"/>
  <c r="P39" i="5"/>
  <c r="Q39" i="5"/>
  <c r="L40" i="5"/>
  <c r="N40" i="5"/>
  <c r="O40" i="5"/>
  <c r="P40" i="5"/>
  <c r="Q40" i="5"/>
  <c r="R40" i="5" s="1"/>
  <c r="L41" i="5"/>
  <c r="M41" i="5" s="1"/>
  <c r="N41" i="5"/>
  <c r="O41" i="5"/>
  <c r="P41" i="5"/>
  <c r="Q41" i="5"/>
  <c r="R41" i="5"/>
  <c r="L42" i="5"/>
  <c r="M42" i="5"/>
  <c r="N42" i="5"/>
  <c r="O42" i="5"/>
  <c r="P42" i="5"/>
  <c r="Q42" i="5"/>
  <c r="R42" i="5"/>
  <c r="L43" i="5"/>
  <c r="M43" i="5"/>
  <c r="N43" i="5"/>
  <c r="O43" i="5"/>
  <c r="P43" i="5"/>
  <c r="Q43" i="5"/>
  <c r="R43" i="5" s="1"/>
  <c r="L44" i="5"/>
  <c r="M44" i="5" s="1"/>
  <c r="N44" i="5"/>
  <c r="O44" i="5"/>
  <c r="P44" i="5"/>
  <c r="Q44" i="5"/>
  <c r="R44" i="5"/>
  <c r="L45" i="5"/>
  <c r="M45" i="5"/>
  <c r="N45" i="5"/>
  <c r="O45" i="5"/>
  <c r="P45" i="5"/>
  <c r="Q45" i="5"/>
  <c r="R45" i="5"/>
  <c r="L46" i="5"/>
  <c r="M46" i="5"/>
  <c r="N46" i="5"/>
  <c r="O46" i="5"/>
  <c r="P46" i="5"/>
  <c r="Q46" i="5"/>
  <c r="R46" i="5"/>
  <c r="L47" i="5"/>
  <c r="M47" i="5"/>
  <c r="N47" i="5"/>
  <c r="O47" i="5"/>
  <c r="P47" i="5"/>
  <c r="Q47" i="5"/>
  <c r="L48" i="5"/>
  <c r="N48" i="5"/>
  <c r="O48" i="5"/>
  <c r="P48" i="5"/>
  <c r="Q48" i="5"/>
  <c r="R48" i="5" s="1"/>
  <c r="L49" i="5"/>
  <c r="M49" i="5" s="1"/>
  <c r="N49" i="5"/>
  <c r="O49" i="5"/>
  <c r="P49" i="5"/>
  <c r="Q49" i="5"/>
  <c r="R49" i="5"/>
  <c r="L50" i="5"/>
  <c r="M50" i="5"/>
  <c r="N50" i="5"/>
  <c r="O50" i="5"/>
  <c r="P50" i="5"/>
  <c r="Q50" i="5"/>
  <c r="R50" i="5"/>
  <c r="L51" i="5"/>
  <c r="M51" i="5"/>
  <c r="N51" i="5"/>
  <c r="O51" i="5"/>
  <c r="P51" i="5"/>
  <c r="Q51" i="5"/>
  <c r="R51" i="5" s="1"/>
  <c r="L52" i="5"/>
  <c r="M52" i="5" s="1"/>
  <c r="N52" i="5"/>
  <c r="O52" i="5"/>
  <c r="P52" i="5"/>
  <c r="Q52" i="5"/>
  <c r="R52" i="5"/>
  <c r="L53" i="5"/>
  <c r="M53" i="5"/>
  <c r="N53" i="5"/>
  <c r="O53" i="5"/>
  <c r="P53" i="5"/>
  <c r="Q53" i="5"/>
  <c r="R53" i="5"/>
  <c r="L54" i="5"/>
  <c r="M54" i="5"/>
  <c r="N54" i="5"/>
  <c r="O54" i="5"/>
  <c r="P54" i="5"/>
  <c r="Q54" i="5"/>
  <c r="R54" i="5"/>
  <c r="L55" i="5"/>
  <c r="M55" i="5"/>
  <c r="N55" i="5"/>
  <c r="O55" i="5"/>
  <c r="P55" i="5"/>
  <c r="Q55" i="5"/>
  <c r="L56" i="5"/>
  <c r="N56" i="5"/>
  <c r="O56" i="5"/>
  <c r="P56" i="5"/>
  <c r="Q56" i="5"/>
  <c r="R56" i="5" s="1"/>
  <c r="L57" i="5"/>
  <c r="M57" i="5" s="1"/>
  <c r="N57" i="5"/>
  <c r="O57" i="5"/>
  <c r="P57" i="5"/>
  <c r="Q57" i="5"/>
  <c r="R57" i="5"/>
  <c r="O8" i="5"/>
  <c r="U8" i="5" s="1"/>
  <c r="P8" i="5"/>
  <c r="M8" i="5"/>
  <c r="AL8" i="5"/>
  <c r="AM9" i="5"/>
  <c r="AM10" i="5"/>
  <c r="AM11" i="5"/>
  <c r="AM12" i="5"/>
  <c r="AM13" i="5"/>
  <c r="AM14" i="5"/>
  <c r="AM15" i="5"/>
  <c r="AM16" i="5"/>
  <c r="AM17" i="5"/>
  <c r="AM18" i="5"/>
  <c r="AM19" i="5"/>
  <c r="AM20" i="5"/>
  <c r="AM21" i="5"/>
  <c r="AM22" i="5"/>
  <c r="AM23" i="5"/>
  <c r="AM24" i="5"/>
  <c r="AM25" i="5"/>
  <c r="AM26" i="5"/>
  <c r="AM27" i="5"/>
  <c r="AM28" i="5"/>
  <c r="AM29" i="5"/>
  <c r="AM30" i="5"/>
  <c r="AM31" i="5"/>
  <c r="AM32" i="5"/>
  <c r="AM33" i="5"/>
  <c r="AM34" i="5"/>
  <c r="AM35" i="5"/>
  <c r="AM36" i="5"/>
  <c r="AM37" i="5"/>
  <c r="AM38" i="5"/>
  <c r="AM39" i="5"/>
  <c r="AM40" i="5"/>
  <c r="AM41" i="5"/>
  <c r="AM42" i="5"/>
  <c r="AM43" i="5"/>
  <c r="AM44" i="5"/>
  <c r="AM45" i="5"/>
  <c r="AM46" i="5"/>
  <c r="AM47" i="5"/>
  <c r="AM48" i="5"/>
  <c r="AM49" i="5"/>
  <c r="AM50" i="5"/>
  <c r="AM51" i="5"/>
  <c r="AM52" i="5"/>
  <c r="AM53" i="5"/>
  <c r="AM54" i="5"/>
  <c r="AM55" i="5"/>
  <c r="AM56" i="5"/>
  <c r="AM57" i="5"/>
  <c r="V10" i="5" l="1"/>
  <c r="T9" i="5"/>
  <c r="S10" i="5"/>
  <c r="S9" i="5"/>
  <c r="T8" i="5"/>
  <c r="X8" i="4"/>
  <c r="V8" i="5"/>
  <c r="W8" i="4"/>
  <c r="R14" i="5"/>
  <c r="M19" i="5"/>
  <c r="M16" i="5"/>
  <c r="M20" i="5"/>
  <c r="M18" i="5"/>
  <c r="R9" i="5"/>
  <c r="AP9" i="4"/>
  <c r="AP10" i="4" s="1"/>
  <c r="M56" i="5"/>
  <c r="R55" i="5"/>
  <c r="M48" i="5"/>
  <c r="R47" i="5"/>
  <c r="M40" i="5"/>
  <c r="R39" i="5"/>
  <c r="M32" i="5"/>
  <c r="R31" i="5"/>
  <c r="M24" i="5"/>
  <c r="R23" i="5"/>
  <c r="R15" i="5"/>
  <c r="R11" i="5"/>
  <c r="AL9" i="5"/>
  <c r="AL10" i="5" s="1"/>
  <c r="AL11" i="5" s="1"/>
  <c r="AL12" i="5" s="1"/>
  <c r="AL13" i="5" s="1"/>
  <c r="AL14" i="5" s="1"/>
  <c r="AL15" i="5" s="1"/>
  <c r="AL16" i="5" s="1"/>
  <c r="AL17" i="5" s="1"/>
  <c r="AL18" i="5" s="1"/>
  <c r="AL19" i="5" s="1"/>
  <c r="AL20" i="5" s="1"/>
  <c r="AL21" i="5" s="1"/>
  <c r="AL22" i="5" s="1"/>
  <c r="AL23" i="5" s="1"/>
  <c r="AL24" i="5" s="1"/>
  <c r="AL25" i="5" s="1"/>
  <c r="AL26" i="5" s="1"/>
  <c r="AL27" i="5" s="1"/>
  <c r="AL28" i="5" s="1"/>
  <c r="AL29" i="5" s="1"/>
  <c r="AL30" i="5" s="1"/>
  <c r="AL31" i="5" s="1"/>
  <c r="AL32" i="5" s="1"/>
  <c r="AL33" i="5" s="1"/>
  <c r="AL34" i="5" s="1"/>
  <c r="AL35" i="5" s="1"/>
  <c r="AL36" i="5" s="1"/>
  <c r="AL37" i="5" s="1"/>
  <c r="AL38" i="5" s="1"/>
  <c r="AL39" i="5" s="1"/>
  <c r="AL40" i="5" s="1"/>
  <c r="AL41" i="5" s="1"/>
  <c r="AL42" i="5" s="1"/>
  <c r="AL43" i="5" s="1"/>
  <c r="AL44" i="5" s="1"/>
  <c r="AL45" i="5" s="1"/>
  <c r="AL46" i="5" s="1"/>
  <c r="AL47" i="5" s="1"/>
  <c r="AL48" i="5" s="1"/>
  <c r="AL49" i="5" s="1"/>
  <c r="AL50" i="5" s="1"/>
  <c r="AL51" i="5" s="1"/>
  <c r="AL52" i="5" s="1"/>
  <c r="AL53" i="5" s="1"/>
  <c r="AL54" i="5" s="1"/>
  <c r="AL55" i="5" s="1"/>
  <c r="AL56" i="5" s="1"/>
  <c r="AL57" i="5" s="1"/>
  <c r="D6" i="18"/>
  <c r="E6" i="18"/>
  <c r="F6" i="18"/>
  <c r="D7" i="18"/>
  <c r="E7" i="18"/>
  <c r="F7" i="18"/>
  <c r="D8" i="18"/>
  <c r="E8" i="18"/>
  <c r="F8" i="18"/>
  <c r="D10" i="18"/>
  <c r="E10" i="18"/>
  <c r="F10" i="18"/>
  <c r="D11" i="18"/>
  <c r="E11" i="18"/>
  <c r="F11" i="18"/>
  <c r="D12" i="18"/>
  <c r="E12" i="18"/>
  <c r="F12" i="18"/>
  <c r="D13" i="18"/>
  <c r="E13" i="18"/>
  <c r="F13" i="18"/>
  <c r="Q8" i="5"/>
  <c r="O16" i="6"/>
  <c r="O17" i="6"/>
  <c r="O18" i="6"/>
  <c r="O19" i="6"/>
  <c r="O20" i="6"/>
  <c r="O21" i="6"/>
  <c r="O22" i="6"/>
  <c r="O23" i="6"/>
  <c r="O24" i="6"/>
  <c r="O25" i="6"/>
  <c r="O26"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104" i="6"/>
  <c r="O105" i="6"/>
  <c r="O106" i="6"/>
  <c r="O107" i="6"/>
  <c r="M9" i="6"/>
  <c r="Z9" i="6"/>
  <c r="AB9" i="6"/>
  <c r="M10" i="6"/>
  <c r="AY10" i="6" s="1"/>
  <c r="Z10" i="6"/>
  <c r="AB10" i="6"/>
  <c r="M11" i="6"/>
  <c r="AY11" i="6" s="1"/>
  <c r="R11" i="6"/>
  <c r="V11" i="6"/>
  <c r="Z11" i="6"/>
  <c r="AB11" i="6"/>
  <c r="M12" i="6"/>
  <c r="AY12" i="6" s="1"/>
  <c r="Z12" i="6"/>
  <c r="AB12" i="6"/>
  <c r="M13" i="6"/>
  <c r="Z13" i="6"/>
  <c r="AB13" i="6"/>
  <c r="M14" i="6"/>
  <c r="AY14" i="6" s="1"/>
  <c r="V14" i="6"/>
  <c r="Z14" i="6"/>
  <c r="AB14" i="6"/>
  <c r="M15" i="6"/>
  <c r="AY15" i="6" s="1"/>
  <c r="N15" i="6"/>
  <c r="R15" i="6"/>
  <c r="Z15" i="6"/>
  <c r="AB15" i="6"/>
  <c r="M16" i="6"/>
  <c r="AY16" i="6" s="1"/>
  <c r="N16" i="6"/>
  <c r="R16" i="6"/>
  <c r="V16" i="6"/>
  <c r="Z16" i="6"/>
  <c r="AB16" i="6"/>
  <c r="M17" i="6"/>
  <c r="AY17" i="6" s="1"/>
  <c r="N17" i="6"/>
  <c r="R17" i="6"/>
  <c r="V17" i="6"/>
  <c r="Z17" i="6"/>
  <c r="AB17" i="6"/>
  <c r="M18" i="6"/>
  <c r="AY18" i="6" s="1"/>
  <c r="N18" i="6"/>
  <c r="R18" i="6"/>
  <c r="V18" i="6"/>
  <c r="Z18" i="6"/>
  <c r="AB18" i="6"/>
  <c r="M19" i="6"/>
  <c r="AY19" i="6" s="1"/>
  <c r="N19" i="6"/>
  <c r="R19" i="6"/>
  <c r="V19" i="6"/>
  <c r="Z19" i="6"/>
  <c r="AB19" i="6"/>
  <c r="M20" i="6"/>
  <c r="AY20" i="6" s="1"/>
  <c r="N20" i="6"/>
  <c r="R20" i="6"/>
  <c r="V20" i="6"/>
  <c r="Z20" i="6"/>
  <c r="AB20" i="6"/>
  <c r="M21" i="6"/>
  <c r="N21" i="6"/>
  <c r="R21" i="6"/>
  <c r="V21" i="6"/>
  <c r="Z21" i="6"/>
  <c r="AB21" i="6"/>
  <c r="M22" i="6"/>
  <c r="N22" i="6"/>
  <c r="R22" i="6"/>
  <c r="V22" i="6"/>
  <c r="Z22" i="6"/>
  <c r="AB22" i="6"/>
  <c r="M23" i="6"/>
  <c r="AY23" i="6" s="1"/>
  <c r="N23" i="6"/>
  <c r="R23" i="6"/>
  <c r="V23" i="6"/>
  <c r="Z23" i="6"/>
  <c r="AB23" i="6"/>
  <c r="M24" i="6"/>
  <c r="N24" i="6"/>
  <c r="R24" i="6"/>
  <c r="V24" i="6"/>
  <c r="Z24" i="6"/>
  <c r="AB24" i="6"/>
  <c r="M25" i="6"/>
  <c r="AY25" i="6" s="1"/>
  <c r="N25" i="6"/>
  <c r="R25" i="6"/>
  <c r="V25" i="6"/>
  <c r="Z25" i="6"/>
  <c r="AB25" i="6"/>
  <c r="M26" i="6"/>
  <c r="AY26" i="6" s="1"/>
  <c r="N26" i="6"/>
  <c r="R26" i="6"/>
  <c r="V26" i="6"/>
  <c r="Z26" i="6"/>
  <c r="AB26" i="6"/>
  <c r="M27" i="6"/>
  <c r="AY27" i="6" s="1"/>
  <c r="N27" i="6"/>
  <c r="O27" i="6" s="1"/>
  <c r="R27" i="6"/>
  <c r="V27" i="6"/>
  <c r="Z27" i="6"/>
  <c r="AB27" i="6"/>
  <c r="M28" i="6"/>
  <c r="AY28" i="6" s="1"/>
  <c r="N28" i="6"/>
  <c r="Q28" i="6" s="1"/>
  <c r="R28" i="6"/>
  <c r="V28" i="6"/>
  <c r="Z28" i="6"/>
  <c r="AB28" i="6"/>
  <c r="M29" i="6"/>
  <c r="AY29" i="6" s="1"/>
  <c r="N29" i="6"/>
  <c r="Q29" i="6" s="1"/>
  <c r="R29" i="6"/>
  <c r="V29" i="6"/>
  <c r="Z29" i="6"/>
  <c r="AB29" i="6"/>
  <c r="M30" i="6"/>
  <c r="AY30" i="6" s="1"/>
  <c r="N30" i="6"/>
  <c r="R30" i="6"/>
  <c r="V30" i="6"/>
  <c r="Z30" i="6"/>
  <c r="AB30" i="6"/>
  <c r="M31" i="6"/>
  <c r="AY31" i="6" s="1"/>
  <c r="N31" i="6"/>
  <c r="R31" i="6"/>
  <c r="V31" i="6"/>
  <c r="Z31" i="6"/>
  <c r="AB31" i="6"/>
  <c r="M32" i="6"/>
  <c r="AY32" i="6" s="1"/>
  <c r="N32" i="6"/>
  <c r="R32" i="6"/>
  <c r="V32" i="6"/>
  <c r="Z32" i="6"/>
  <c r="AB32" i="6"/>
  <c r="M33" i="6"/>
  <c r="AY33" i="6" s="1"/>
  <c r="N33" i="6"/>
  <c r="P33" i="6" s="1"/>
  <c r="R33" i="6"/>
  <c r="V33" i="6"/>
  <c r="Z33" i="6"/>
  <c r="AB33" i="6"/>
  <c r="M34" i="6"/>
  <c r="AY34" i="6" s="1"/>
  <c r="N34" i="6"/>
  <c r="Q34" i="6" s="1"/>
  <c r="R34" i="6"/>
  <c r="V34" i="6"/>
  <c r="Z34" i="6"/>
  <c r="AB34" i="6"/>
  <c r="M35" i="6"/>
  <c r="AY35" i="6" s="1"/>
  <c r="N35" i="6"/>
  <c r="R35" i="6"/>
  <c r="V35" i="6"/>
  <c r="Z35" i="6"/>
  <c r="AB35" i="6"/>
  <c r="M36" i="6"/>
  <c r="AY36" i="6" s="1"/>
  <c r="N36" i="6"/>
  <c r="Q36" i="6" s="1"/>
  <c r="R36" i="6"/>
  <c r="V36" i="6"/>
  <c r="Z36" i="6"/>
  <c r="AB36" i="6"/>
  <c r="M37" i="6"/>
  <c r="AY37" i="6" s="1"/>
  <c r="N37" i="6"/>
  <c r="R37" i="6"/>
  <c r="V37" i="6"/>
  <c r="Z37" i="6"/>
  <c r="AB37" i="6"/>
  <c r="M38" i="6"/>
  <c r="AY38" i="6" s="1"/>
  <c r="N38" i="6"/>
  <c r="Q38" i="6" s="1"/>
  <c r="R38" i="6"/>
  <c r="V38" i="6"/>
  <c r="Z38" i="6"/>
  <c r="AB38" i="6"/>
  <c r="M39" i="6"/>
  <c r="AY39" i="6" s="1"/>
  <c r="N39" i="6"/>
  <c r="R39" i="6"/>
  <c r="V39" i="6"/>
  <c r="Z39" i="6"/>
  <c r="AB39" i="6"/>
  <c r="M40" i="6"/>
  <c r="N40" i="6"/>
  <c r="R40" i="6"/>
  <c r="V40" i="6"/>
  <c r="Z40" i="6"/>
  <c r="AB40" i="6"/>
  <c r="M41" i="6"/>
  <c r="N41" i="6"/>
  <c r="Q41" i="6" s="1"/>
  <c r="R41" i="6"/>
  <c r="V41" i="6"/>
  <c r="Z41" i="6"/>
  <c r="AB41" i="6"/>
  <c r="M42" i="6"/>
  <c r="AY42" i="6" s="1"/>
  <c r="N42" i="6"/>
  <c r="Q42" i="6" s="1"/>
  <c r="R42" i="6"/>
  <c r="V42" i="6"/>
  <c r="Z42" i="6"/>
  <c r="AB42" i="6"/>
  <c r="M43" i="6"/>
  <c r="AY43" i="6" s="1"/>
  <c r="N43" i="6"/>
  <c r="R43" i="6"/>
  <c r="V43" i="6"/>
  <c r="Z43" i="6"/>
  <c r="AB43" i="6"/>
  <c r="M44" i="6"/>
  <c r="AY44" i="6" s="1"/>
  <c r="N44" i="6"/>
  <c r="Q44" i="6" s="1"/>
  <c r="R44" i="6"/>
  <c r="V44" i="6"/>
  <c r="Z44" i="6"/>
  <c r="AB44" i="6"/>
  <c r="M45" i="6"/>
  <c r="AY45" i="6" s="1"/>
  <c r="N45" i="6"/>
  <c r="R45" i="6"/>
  <c r="V45" i="6"/>
  <c r="Z45" i="6"/>
  <c r="AB45" i="6"/>
  <c r="M46" i="6"/>
  <c r="N46" i="6"/>
  <c r="R46" i="6"/>
  <c r="V46" i="6"/>
  <c r="Z46" i="6"/>
  <c r="AB46" i="6"/>
  <c r="M47" i="6"/>
  <c r="AY47" i="6" s="1"/>
  <c r="N47" i="6"/>
  <c r="Q47" i="6" s="1"/>
  <c r="R47" i="6"/>
  <c r="V47" i="6"/>
  <c r="Z47" i="6"/>
  <c r="AB47" i="6"/>
  <c r="M48" i="6"/>
  <c r="AY48" i="6" s="1"/>
  <c r="N48" i="6"/>
  <c r="R48" i="6"/>
  <c r="V48" i="6"/>
  <c r="Z48" i="6"/>
  <c r="AB48" i="6"/>
  <c r="M49" i="6"/>
  <c r="AY49" i="6" s="1"/>
  <c r="N49" i="6"/>
  <c r="Q49" i="6" s="1"/>
  <c r="R49" i="6"/>
  <c r="V49" i="6"/>
  <c r="Z49" i="6"/>
  <c r="AB49" i="6"/>
  <c r="M50" i="6"/>
  <c r="AY50" i="6" s="1"/>
  <c r="N50" i="6"/>
  <c r="Q50" i="6" s="1"/>
  <c r="R50" i="6"/>
  <c r="V50" i="6"/>
  <c r="Z50" i="6"/>
  <c r="AB50" i="6"/>
  <c r="M51" i="6"/>
  <c r="AY51" i="6" s="1"/>
  <c r="N51" i="6"/>
  <c r="Q51" i="6" s="1"/>
  <c r="R51" i="6"/>
  <c r="V51" i="6"/>
  <c r="Z51" i="6"/>
  <c r="AB51" i="6"/>
  <c r="M52" i="6"/>
  <c r="AY52" i="6" s="1"/>
  <c r="N52" i="6"/>
  <c r="R52" i="6"/>
  <c r="V52" i="6"/>
  <c r="Z52" i="6"/>
  <c r="AB52" i="6"/>
  <c r="M53" i="6"/>
  <c r="AY53" i="6" s="1"/>
  <c r="N53" i="6"/>
  <c r="Q53" i="6" s="1"/>
  <c r="R53" i="6"/>
  <c r="V53" i="6"/>
  <c r="Z53" i="6"/>
  <c r="AB53" i="6"/>
  <c r="M54" i="6"/>
  <c r="AY54" i="6" s="1"/>
  <c r="N54" i="6"/>
  <c r="R54" i="6"/>
  <c r="V54" i="6"/>
  <c r="Z54" i="6"/>
  <c r="AB54" i="6"/>
  <c r="M55" i="6"/>
  <c r="AY55" i="6" s="1"/>
  <c r="N55" i="6"/>
  <c r="P55" i="6" s="1"/>
  <c r="R55" i="6"/>
  <c r="V55" i="6"/>
  <c r="Z55" i="6"/>
  <c r="AB55" i="6"/>
  <c r="M56" i="6"/>
  <c r="AY56" i="6" s="1"/>
  <c r="N56" i="6"/>
  <c r="R56" i="6"/>
  <c r="V56" i="6"/>
  <c r="Z56" i="6"/>
  <c r="AB56" i="6"/>
  <c r="M57" i="6"/>
  <c r="AY57" i="6" s="1"/>
  <c r="N57" i="6"/>
  <c r="Q57" i="6" s="1"/>
  <c r="R57" i="6"/>
  <c r="V57" i="6"/>
  <c r="Z57" i="6"/>
  <c r="AB57" i="6"/>
  <c r="M58" i="6"/>
  <c r="AY58" i="6" s="1"/>
  <c r="N58" i="6"/>
  <c r="Q58" i="6" s="1"/>
  <c r="R58" i="6"/>
  <c r="V58" i="6"/>
  <c r="Z58" i="6"/>
  <c r="AB58" i="6"/>
  <c r="M59" i="6"/>
  <c r="N59" i="6"/>
  <c r="Q59" i="6" s="1"/>
  <c r="R59" i="6"/>
  <c r="V59" i="6"/>
  <c r="Z59" i="6"/>
  <c r="AB59" i="6"/>
  <c r="M60" i="6"/>
  <c r="AY60" i="6" s="1"/>
  <c r="N60" i="6"/>
  <c r="Q60" i="6" s="1"/>
  <c r="R60" i="6"/>
  <c r="V60" i="6"/>
  <c r="Z60" i="6"/>
  <c r="AB60" i="6"/>
  <c r="M61" i="6"/>
  <c r="AY61" i="6" s="1"/>
  <c r="N61" i="6"/>
  <c r="R61" i="6"/>
  <c r="V61" i="6"/>
  <c r="Z61" i="6"/>
  <c r="AB61" i="6"/>
  <c r="M62" i="6"/>
  <c r="AY62" i="6" s="1"/>
  <c r="N62" i="6"/>
  <c r="R62" i="6"/>
  <c r="V62" i="6"/>
  <c r="Z62" i="6"/>
  <c r="AB62" i="6"/>
  <c r="M63" i="6"/>
  <c r="AY63" i="6" s="1"/>
  <c r="N63" i="6"/>
  <c r="R63" i="6"/>
  <c r="V63" i="6"/>
  <c r="Z63" i="6"/>
  <c r="AB63" i="6"/>
  <c r="M64" i="6"/>
  <c r="AY64" i="6" s="1"/>
  <c r="N64" i="6"/>
  <c r="P64" i="6" s="1"/>
  <c r="R64" i="6"/>
  <c r="V64" i="6"/>
  <c r="Z64" i="6"/>
  <c r="AB64" i="6"/>
  <c r="M65" i="6"/>
  <c r="AY65" i="6" s="1"/>
  <c r="N65" i="6"/>
  <c r="Q65" i="6" s="1"/>
  <c r="R65" i="6"/>
  <c r="V65" i="6"/>
  <c r="Z65" i="6"/>
  <c r="AB65" i="6"/>
  <c r="M66" i="6"/>
  <c r="AY66" i="6" s="1"/>
  <c r="N66" i="6"/>
  <c r="P66" i="6" s="1"/>
  <c r="R66" i="6"/>
  <c r="V66" i="6"/>
  <c r="Z66" i="6"/>
  <c r="AB66" i="6"/>
  <c r="M67" i="6"/>
  <c r="AY67" i="6" s="1"/>
  <c r="N67" i="6"/>
  <c r="R67" i="6"/>
  <c r="V67" i="6"/>
  <c r="Z67" i="6"/>
  <c r="AB67" i="6"/>
  <c r="M68" i="6"/>
  <c r="AY68" i="6" s="1"/>
  <c r="N68" i="6"/>
  <c r="Q68" i="6" s="1"/>
  <c r="R68" i="6"/>
  <c r="V68" i="6"/>
  <c r="Z68" i="6"/>
  <c r="AB68" i="6"/>
  <c r="M69" i="6"/>
  <c r="N69" i="6"/>
  <c r="R69" i="6"/>
  <c r="V69" i="6"/>
  <c r="Z69" i="6"/>
  <c r="AB69" i="6"/>
  <c r="M70" i="6"/>
  <c r="N70" i="6"/>
  <c r="R70" i="6"/>
  <c r="V70" i="6"/>
  <c r="Z70" i="6"/>
  <c r="AB70" i="6"/>
  <c r="M71" i="6"/>
  <c r="AY71" i="6" s="1"/>
  <c r="N71" i="6"/>
  <c r="Q71" i="6" s="1"/>
  <c r="R71" i="6"/>
  <c r="V71" i="6"/>
  <c r="Z71" i="6"/>
  <c r="AB71" i="6"/>
  <c r="M72" i="6"/>
  <c r="AY72" i="6" s="1"/>
  <c r="N72" i="6"/>
  <c r="R72" i="6"/>
  <c r="V72" i="6"/>
  <c r="Z72" i="6"/>
  <c r="AB72" i="6"/>
  <c r="M73" i="6"/>
  <c r="AY73" i="6" s="1"/>
  <c r="N73" i="6"/>
  <c r="Q73" i="6" s="1"/>
  <c r="R73" i="6"/>
  <c r="V73" i="6"/>
  <c r="Z73" i="6"/>
  <c r="AB73" i="6"/>
  <c r="M74" i="6"/>
  <c r="N74" i="6"/>
  <c r="Q74" i="6" s="1"/>
  <c r="R74" i="6"/>
  <c r="V74" i="6"/>
  <c r="Z74" i="6"/>
  <c r="AB74" i="6"/>
  <c r="M75" i="6"/>
  <c r="AY75" i="6" s="1"/>
  <c r="N75" i="6"/>
  <c r="R75" i="6"/>
  <c r="V75" i="6"/>
  <c r="Z75" i="6"/>
  <c r="AB75" i="6"/>
  <c r="M76" i="6"/>
  <c r="AY76" i="6" s="1"/>
  <c r="N76" i="6"/>
  <c r="R76" i="6"/>
  <c r="V76" i="6"/>
  <c r="Z76" i="6"/>
  <c r="AB76" i="6"/>
  <c r="M77" i="6"/>
  <c r="AY77" i="6" s="1"/>
  <c r="N77" i="6"/>
  <c r="P77" i="6" s="1"/>
  <c r="R77" i="6"/>
  <c r="V77" i="6"/>
  <c r="Z77" i="6"/>
  <c r="AB77" i="6"/>
  <c r="M78" i="6"/>
  <c r="AY78" i="6" s="1"/>
  <c r="N78" i="6"/>
  <c r="P78" i="6" s="1"/>
  <c r="R78" i="6"/>
  <c r="V78" i="6"/>
  <c r="Z78" i="6"/>
  <c r="AB78" i="6"/>
  <c r="M79" i="6"/>
  <c r="AY79" i="6" s="1"/>
  <c r="N79" i="6"/>
  <c r="Q79" i="6" s="1"/>
  <c r="R79" i="6"/>
  <c r="V79" i="6"/>
  <c r="Z79" i="6"/>
  <c r="AB79" i="6"/>
  <c r="M80" i="6"/>
  <c r="AY80" i="6" s="1"/>
  <c r="N80" i="6"/>
  <c r="Q80" i="6" s="1"/>
  <c r="R80" i="6"/>
  <c r="V80" i="6"/>
  <c r="Z80" i="6"/>
  <c r="AB80" i="6"/>
  <c r="M81" i="6"/>
  <c r="AY81" i="6" s="1"/>
  <c r="N81" i="6"/>
  <c r="R81" i="6"/>
  <c r="V81" i="6"/>
  <c r="Z81" i="6"/>
  <c r="AB81" i="6"/>
  <c r="M82" i="6"/>
  <c r="AY82" i="6" s="1"/>
  <c r="N82" i="6"/>
  <c r="Q82" i="6" s="1"/>
  <c r="R82" i="6"/>
  <c r="V82" i="6"/>
  <c r="Z82" i="6"/>
  <c r="AB82" i="6"/>
  <c r="M83" i="6"/>
  <c r="AY83" i="6" s="1"/>
  <c r="N83" i="6"/>
  <c r="Q83" i="6" s="1"/>
  <c r="R83" i="6"/>
  <c r="V83" i="6"/>
  <c r="Z83" i="6"/>
  <c r="AB83" i="6"/>
  <c r="M84" i="6"/>
  <c r="AY84" i="6" s="1"/>
  <c r="N84" i="6"/>
  <c r="R84" i="6"/>
  <c r="V84" i="6"/>
  <c r="Z84" i="6"/>
  <c r="AB84" i="6"/>
  <c r="M85" i="6"/>
  <c r="AY85" i="6" s="1"/>
  <c r="N85" i="6"/>
  <c r="R85" i="6"/>
  <c r="V85" i="6"/>
  <c r="Z85" i="6"/>
  <c r="AB85" i="6"/>
  <c r="M86" i="6"/>
  <c r="AY86" i="6" s="1"/>
  <c r="N86" i="6"/>
  <c r="P86" i="6" s="1"/>
  <c r="R86" i="6"/>
  <c r="V86" i="6"/>
  <c r="Z86" i="6"/>
  <c r="AB86" i="6"/>
  <c r="M87" i="6"/>
  <c r="AY87" i="6" s="1"/>
  <c r="N87" i="6"/>
  <c r="R87" i="6"/>
  <c r="V87" i="6"/>
  <c r="Z87" i="6"/>
  <c r="AB87" i="6"/>
  <c r="M88" i="6"/>
  <c r="AY88" i="6" s="1"/>
  <c r="N88" i="6"/>
  <c r="R88" i="6"/>
  <c r="V88" i="6"/>
  <c r="Z88" i="6"/>
  <c r="AB88" i="6"/>
  <c r="M89" i="6"/>
  <c r="AY89" i="6" s="1"/>
  <c r="N89" i="6"/>
  <c r="P89" i="6" s="1"/>
  <c r="R89" i="6"/>
  <c r="V89" i="6"/>
  <c r="Z89" i="6"/>
  <c r="AB89" i="6"/>
  <c r="M90" i="6"/>
  <c r="AY90" i="6" s="1"/>
  <c r="N90" i="6"/>
  <c r="P90" i="6" s="1"/>
  <c r="R90" i="6"/>
  <c r="V90" i="6"/>
  <c r="Z90" i="6"/>
  <c r="AB90" i="6"/>
  <c r="M91" i="6"/>
  <c r="AY91" i="6" s="1"/>
  <c r="N91" i="6"/>
  <c r="Q91" i="6" s="1"/>
  <c r="R91" i="6"/>
  <c r="V91" i="6"/>
  <c r="Z91" i="6"/>
  <c r="AB91" i="6"/>
  <c r="M92" i="6"/>
  <c r="AY92" i="6" s="1"/>
  <c r="N92" i="6"/>
  <c r="Q92" i="6" s="1"/>
  <c r="R92" i="6"/>
  <c r="V92" i="6"/>
  <c r="Z92" i="6"/>
  <c r="AB92" i="6"/>
  <c r="M93" i="6"/>
  <c r="AY93" i="6" s="1"/>
  <c r="N93" i="6"/>
  <c r="P93" i="6" s="1"/>
  <c r="R93" i="6"/>
  <c r="V93" i="6"/>
  <c r="Z93" i="6"/>
  <c r="AB93" i="6"/>
  <c r="M94" i="6"/>
  <c r="AY94" i="6" s="1"/>
  <c r="N94" i="6"/>
  <c r="Q94" i="6" s="1"/>
  <c r="R94" i="6"/>
  <c r="V94" i="6"/>
  <c r="Z94" i="6"/>
  <c r="AB94" i="6"/>
  <c r="M95" i="6"/>
  <c r="AY95" i="6" s="1"/>
  <c r="N95" i="6"/>
  <c r="R95" i="6"/>
  <c r="V95" i="6"/>
  <c r="Z95" i="6"/>
  <c r="AB95" i="6"/>
  <c r="M96" i="6"/>
  <c r="AY96" i="6" s="1"/>
  <c r="N96" i="6"/>
  <c r="Q96" i="6" s="1"/>
  <c r="R96" i="6"/>
  <c r="V96" i="6"/>
  <c r="Z96" i="6"/>
  <c r="AB96" i="6"/>
  <c r="M97" i="6"/>
  <c r="AY97" i="6" s="1"/>
  <c r="N97" i="6"/>
  <c r="P97" i="6" s="1"/>
  <c r="R97" i="6"/>
  <c r="V97" i="6"/>
  <c r="Z97" i="6"/>
  <c r="AB97" i="6"/>
  <c r="M98" i="6"/>
  <c r="AY98" i="6" s="1"/>
  <c r="N98" i="6"/>
  <c r="R98" i="6"/>
  <c r="V98" i="6"/>
  <c r="Z98" i="6"/>
  <c r="AB98" i="6"/>
  <c r="M99" i="6"/>
  <c r="AY99" i="6" s="1"/>
  <c r="N99" i="6"/>
  <c r="R99" i="6"/>
  <c r="V99" i="6"/>
  <c r="Z99" i="6"/>
  <c r="AB99" i="6"/>
  <c r="M100" i="6"/>
  <c r="AY100" i="6" s="1"/>
  <c r="N100" i="6"/>
  <c r="P100" i="6" s="1"/>
  <c r="R100" i="6"/>
  <c r="V100" i="6"/>
  <c r="Z100" i="6"/>
  <c r="AB100" i="6"/>
  <c r="M101" i="6"/>
  <c r="AY101" i="6" s="1"/>
  <c r="N101" i="6"/>
  <c r="R101" i="6"/>
  <c r="V101" i="6"/>
  <c r="Z101" i="6"/>
  <c r="AB101" i="6"/>
  <c r="M102" i="6"/>
  <c r="AY102" i="6" s="1"/>
  <c r="N102" i="6"/>
  <c r="R102" i="6"/>
  <c r="V102" i="6"/>
  <c r="Z102" i="6"/>
  <c r="AB102" i="6"/>
  <c r="M103" i="6"/>
  <c r="AY103" i="6" s="1"/>
  <c r="N103" i="6"/>
  <c r="Q103" i="6" s="1"/>
  <c r="R103" i="6"/>
  <c r="V103" i="6"/>
  <c r="Z103" i="6"/>
  <c r="AB103" i="6"/>
  <c r="M104" i="6"/>
  <c r="AY104" i="6" s="1"/>
  <c r="N104" i="6"/>
  <c r="P104" i="6" s="1"/>
  <c r="R104" i="6"/>
  <c r="V104" i="6"/>
  <c r="Z104" i="6"/>
  <c r="AB104" i="6"/>
  <c r="M105" i="6"/>
  <c r="AY105" i="6" s="1"/>
  <c r="N105" i="6"/>
  <c r="Q105" i="6" s="1"/>
  <c r="R105" i="6"/>
  <c r="V105" i="6"/>
  <c r="Z105" i="6"/>
  <c r="AB105" i="6"/>
  <c r="M106" i="6"/>
  <c r="AY106" i="6" s="1"/>
  <c r="N106" i="6"/>
  <c r="R106" i="6"/>
  <c r="V106" i="6"/>
  <c r="Z106" i="6"/>
  <c r="AB106" i="6"/>
  <c r="M107" i="6"/>
  <c r="AY107" i="6" s="1"/>
  <c r="N107" i="6"/>
  <c r="P107" i="6" s="1"/>
  <c r="R107" i="6"/>
  <c r="V107" i="6"/>
  <c r="Z107" i="6"/>
  <c r="AB107" i="6"/>
  <c r="AY13" i="6"/>
  <c r="AY21" i="6"/>
  <c r="AY22" i="6"/>
  <c r="AY24" i="6"/>
  <c r="AY40" i="6"/>
  <c r="AY41" i="6"/>
  <c r="AY46" i="6"/>
  <c r="AY59" i="6"/>
  <c r="AY69" i="6"/>
  <c r="AY70" i="6"/>
  <c r="AY74" i="6"/>
  <c r="AY9" i="6"/>
  <c r="AC18" i="6" l="1"/>
  <c r="AG107" i="6"/>
  <c r="AG103" i="6"/>
  <c r="AG99" i="6"/>
  <c r="AG91" i="6"/>
  <c r="AG87" i="6"/>
  <c r="AG79" i="6"/>
  <c r="AG75" i="6"/>
  <c r="AG71" i="6"/>
  <c r="AG59" i="6"/>
  <c r="AG51" i="6"/>
  <c r="AG47" i="6"/>
  <c r="AG43" i="6"/>
  <c r="AG39" i="6"/>
  <c r="AG31" i="6"/>
  <c r="AG95" i="6"/>
  <c r="AG83" i="6"/>
  <c r="AG67" i="6"/>
  <c r="AG63" i="6"/>
  <c r="AG55" i="6"/>
  <c r="AG35" i="6"/>
  <c r="AC83" i="6"/>
  <c r="AC75" i="6"/>
  <c r="AC67" i="6"/>
  <c r="AC59" i="6"/>
  <c r="AC92" i="6"/>
  <c r="AC84" i="6"/>
  <c r="AG100" i="6"/>
  <c r="AG80" i="6"/>
  <c r="AG76" i="6"/>
  <c r="AG56" i="6"/>
  <c r="AG48" i="6"/>
  <c r="AG44" i="6"/>
  <c r="AG40" i="6"/>
  <c r="AG36" i="6"/>
  <c r="AG32" i="6"/>
  <c r="AG77" i="6"/>
  <c r="AG73" i="6"/>
  <c r="AG61" i="6"/>
  <c r="AG57" i="6"/>
  <c r="AG49" i="6"/>
  <c r="AG45" i="6"/>
  <c r="AG41" i="6"/>
  <c r="AG37" i="6"/>
  <c r="AG33" i="6"/>
  <c r="AG29" i="6"/>
  <c r="K4" i="18"/>
  <c r="AG106" i="6"/>
  <c r="AG102" i="6"/>
  <c r="AG98" i="6"/>
  <c r="AG94" i="6"/>
  <c r="AG90" i="6"/>
  <c r="AG86" i="6"/>
  <c r="AG82" i="6"/>
  <c r="AG78" i="6"/>
  <c r="AG74" i="6"/>
  <c r="AG70" i="6"/>
  <c r="AG66" i="6"/>
  <c r="AG62" i="6"/>
  <c r="AG58" i="6"/>
  <c r="AG54" i="6"/>
  <c r="AG50" i="6"/>
  <c r="AG46" i="6"/>
  <c r="AG42" i="6"/>
  <c r="AG38" i="6"/>
  <c r="AG34" i="6"/>
  <c r="AG30" i="6"/>
  <c r="AG104" i="6"/>
  <c r="AG96" i="6"/>
  <c r="AG92" i="6"/>
  <c r="AG88" i="6"/>
  <c r="AG84" i="6"/>
  <c r="AG72" i="6"/>
  <c r="AG68" i="6"/>
  <c r="AG64" i="6"/>
  <c r="AG60" i="6"/>
  <c r="AG52" i="6"/>
  <c r="AG105" i="6"/>
  <c r="AG101" i="6"/>
  <c r="AG97" i="6"/>
  <c r="AG93" i="6"/>
  <c r="AG89" i="6"/>
  <c r="AG85" i="6"/>
  <c r="AG81" i="6"/>
  <c r="AG69" i="6"/>
  <c r="AG65" i="6"/>
  <c r="AG53" i="6"/>
  <c r="P25" i="6"/>
  <c r="AG25" i="6"/>
  <c r="P21" i="6"/>
  <c r="AG21" i="6"/>
  <c r="P17" i="6"/>
  <c r="AG17" i="6"/>
  <c r="AG18" i="6"/>
  <c r="O15" i="6"/>
  <c r="AG22" i="6"/>
  <c r="AG23" i="6"/>
  <c r="Q19" i="6"/>
  <c r="AG19" i="6"/>
  <c r="Q26" i="6"/>
  <c r="AG26" i="6"/>
  <c r="AG24" i="6"/>
  <c r="Q20" i="6"/>
  <c r="AG20" i="6"/>
  <c r="AG16" i="6"/>
  <c r="O28" i="6"/>
  <c r="AK28" i="6" s="1"/>
  <c r="P27" i="6"/>
  <c r="AC51" i="6"/>
  <c r="AC43" i="6"/>
  <c r="AC35" i="6"/>
  <c r="AC103" i="6"/>
  <c r="AC95" i="6"/>
  <c r="AC87" i="6"/>
  <c r="AC79" i="6"/>
  <c r="AC71" i="6"/>
  <c r="AC63" i="6"/>
  <c r="AC55" i="6"/>
  <c r="AC47" i="6"/>
  <c r="AC39" i="6"/>
  <c r="AC31" i="6"/>
  <c r="AC23" i="6"/>
  <c r="AC25" i="6"/>
  <c r="AC17" i="6"/>
  <c r="AC102" i="6"/>
  <c r="AC94" i="6"/>
  <c r="AC86" i="6"/>
  <c r="AC78" i="6"/>
  <c r="AC70" i="6"/>
  <c r="AC62" i="6"/>
  <c r="AC54" i="6"/>
  <c r="AC46" i="6"/>
  <c r="AC107" i="6"/>
  <c r="AC99" i="6"/>
  <c r="AC91" i="6"/>
  <c r="AC19" i="6"/>
  <c r="AC33" i="6"/>
  <c r="AC76" i="6"/>
  <c r="AC68" i="6"/>
  <c r="AC60" i="6"/>
  <c r="AC52" i="6"/>
  <c r="AC44" i="6"/>
  <c r="AC20" i="6"/>
  <c r="AC104" i="6"/>
  <c r="AC80" i="6"/>
  <c r="AC100" i="6"/>
  <c r="AC36" i="6"/>
  <c r="AC26" i="6"/>
  <c r="AC38" i="6"/>
  <c r="AC30" i="6"/>
  <c r="AC22" i="6"/>
  <c r="AC96" i="6"/>
  <c r="AC88" i="6"/>
  <c r="AC72" i="6"/>
  <c r="AC64" i="6"/>
  <c r="AC56" i="6"/>
  <c r="AC48" i="6"/>
  <c r="AC40" i="6"/>
  <c r="AC32" i="6"/>
  <c r="AC24" i="6"/>
  <c r="AC16" i="6"/>
  <c r="AC105" i="6"/>
  <c r="AC97" i="6"/>
  <c r="AC89" i="6"/>
  <c r="AC81" i="6"/>
  <c r="AC73" i="6"/>
  <c r="AC65" i="6"/>
  <c r="AC57" i="6"/>
  <c r="AC49" i="6"/>
  <c r="AC41" i="6"/>
  <c r="AC106" i="6"/>
  <c r="AC98" i="6"/>
  <c r="AC90" i="6"/>
  <c r="AC82" i="6"/>
  <c r="AC74" i="6"/>
  <c r="AC66" i="6"/>
  <c r="AC58" i="6"/>
  <c r="AC50" i="6"/>
  <c r="AC42" i="6"/>
  <c r="AC34" i="6"/>
  <c r="AC101" i="6"/>
  <c r="AC93" i="6"/>
  <c r="AC85" i="6"/>
  <c r="AC77" i="6"/>
  <c r="AC69" i="6"/>
  <c r="AC61" i="6"/>
  <c r="AC53" i="6"/>
  <c r="AC45" i="6"/>
  <c r="AC37" i="6"/>
  <c r="AC29" i="6"/>
  <c r="AC21" i="6"/>
  <c r="T15" i="6"/>
  <c r="AC15" i="6"/>
  <c r="AP11" i="4"/>
  <c r="AP12" i="4" s="1"/>
  <c r="AP10" i="5"/>
  <c r="AO10" i="5" s="1"/>
  <c r="AP14" i="5"/>
  <c r="AO14" i="5" s="1"/>
  <c r="AP22" i="5"/>
  <c r="AN22" i="5" s="1"/>
  <c r="AP28" i="5"/>
  <c r="AO28" i="5" s="1"/>
  <c r="AP43" i="5"/>
  <c r="AO43" i="5" s="1"/>
  <c r="AP46" i="5"/>
  <c r="AN46" i="5" s="1"/>
  <c r="AP41" i="5"/>
  <c r="AN41" i="5" s="1"/>
  <c r="AP35" i="5"/>
  <c r="AQ35" i="5" s="1"/>
  <c r="S95" i="6"/>
  <c r="U63" i="6"/>
  <c r="U23" i="6"/>
  <c r="T104" i="6"/>
  <c r="S96" i="6"/>
  <c r="T88" i="6"/>
  <c r="F80" i="6"/>
  <c r="T72" i="6"/>
  <c r="T64" i="6"/>
  <c r="F56" i="6"/>
  <c r="U48" i="6"/>
  <c r="T40" i="6"/>
  <c r="F32" i="6"/>
  <c r="F24" i="6"/>
  <c r="F16" i="6"/>
  <c r="F87" i="6"/>
  <c r="F55" i="6"/>
  <c r="U31" i="6"/>
  <c r="S105" i="6"/>
  <c r="F97" i="6"/>
  <c r="F89" i="6"/>
  <c r="S81" i="6"/>
  <c r="F73" i="6"/>
  <c r="S65" i="6"/>
  <c r="T57" i="6"/>
  <c r="U49" i="6"/>
  <c r="F41" i="6"/>
  <c r="U33" i="6"/>
  <c r="U25" i="6"/>
  <c r="F17" i="6"/>
  <c r="F71" i="6"/>
  <c r="S106" i="6"/>
  <c r="T98" i="6"/>
  <c r="T90" i="6"/>
  <c r="S82" i="6"/>
  <c r="T74" i="6"/>
  <c r="T66" i="6"/>
  <c r="S58" i="6"/>
  <c r="T50" i="6"/>
  <c r="F42" i="6"/>
  <c r="S34" i="6"/>
  <c r="S26" i="6"/>
  <c r="F18" i="6"/>
  <c r="F107" i="6"/>
  <c r="F99" i="6"/>
  <c r="U91" i="6"/>
  <c r="T83" i="6"/>
  <c r="F75" i="6"/>
  <c r="S67" i="6"/>
  <c r="F59" i="6"/>
  <c r="F51" i="6"/>
  <c r="T43" i="6"/>
  <c r="F35" i="6"/>
  <c r="T27" i="6"/>
  <c r="T19" i="6"/>
  <c r="F79" i="6"/>
  <c r="U39" i="6"/>
  <c r="F100" i="6"/>
  <c r="F92" i="6"/>
  <c r="U84" i="6"/>
  <c r="S76" i="6"/>
  <c r="F68" i="6"/>
  <c r="F60" i="6"/>
  <c r="F52" i="6"/>
  <c r="S44" i="6"/>
  <c r="F36" i="6"/>
  <c r="F28" i="6"/>
  <c r="S20" i="6"/>
  <c r="F103" i="6"/>
  <c r="U47" i="6"/>
  <c r="T11" i="6"/>
  <c r="U101" i="6"/>
  <c r="S93" i="6"/>
  <c r="T85" i="6"/>
  <c r="F77" i="6"/>
  <c r="F69" i="6"/>
  <c r="F61" i="6"/>
  <c r="S53" i="6"/>
  <c r="T45" i="6"/>
  <c r="T37" i="6"/>
  <c r="F29" i="6"/>
  <c r="T21" i="6"/>
  <c r="S102" i="6"/>
  <c r="S94" i="6"/>
  <c r="T86" i="6"/>
  <c r="F78" i="6"/>
  <c r="U70" i="6"/>
  <c r="F62" i="6"/>
  <c r="F54" i="6"/>
  <c r="T46" i="6"/>
  <c r="U38" i="6"/>
  <c r="F30" i="6"/>
  <c r="U22" i="6"/>
  <c r="AP36" i="5"/>
  <c r="AQ36" i="5" s="1"/>
  <c r="AP57" i="5"/>
  <c r="AQ57" i="5" s="1"/>
  <c r="G17" i="5"/>
  <c r="AP30" i="5"/>
  <c r="AO30" i="5" s="1"/>
  <c r="AP27" i="5"/>
  <c r="AQ27" i="5" s="1"/>
  <c r="AP11" i="5"/>
  <c r="AO11" i="5" s="1"/>
  <c r="G14" i="5"/>
  <c r="AP39" i="5"/>
  <c r="AO39" i="5" s="1"/>
  <c r="AP50" i="5"/>
  <c r="AN50" i="5" s="1"/>
  <c r="AP48" i="5"/>
  <c r="AN48" i="5" s="1"/>
  <c r="AP56" i="5"/>
  <c r="AQ56" i="5" s="1"/>
  <c r="AP33" i="5"/>
  <c r="AO33" i="5" s="1"/>
  <c r="AP32" i="5"/>
  <c r="AN32" i="5" s="1"/>
  <c r="AP17" i="5"/>
  <c r="AO17" i="5" s="1"/>
  <c r="AP23" i="5"/>
  <c r="AQ23" i="5" s="1"/>
  <c r="AP26" i="5"/>
  <c r="AO26" i="5" s="1"/>
  <c r="AP53" i="5"/>
  <c r="AO53" i="5" s="1"/>
  <c r="AP31" i="5"/>
  <c r="AN31" i="5" s="1"/>
  <c r="AP18" i="5"/>
  <c r="AO18" i="5" s="1"/>
  <c r="AP54" i="5"/>
  <c r="AO54" i="5" s="1"/>
  <c r="AP12" i="5"/>
  <c r="AO12" i="5" s="1"/>
  <c r="AP45" i="5"/>
  <c r="AN45" i="5" s="1"/>
  <c r="AP47" i="5"/>
  <c r="AN47" i="5" s="1"/>
  <c r="AP38" i="5"/>
  <c r="AO38" i="5" s="1"/>
  <c r="AP44" i="5"/>
  <c r="AN44" i="5" s="1"/>
  <c r="AP37" i="5"/>
  <c r="AN37" i="5" s="1"/>
  <c r="AP9" i="5"/>
  <c r="AO9" i="5" s="1"/>
  <c r="AP15" i="5"/>
  <c r="AO15" i="5" s="1"/>
  <c r="AP55" i="5"/>
  <c r="AN55" i="5" s="1"/>
  <c r="AP42" i="5"/>
  <c r="AN42" i="5" s="1"/>
  <c r="AP40" i="5"/>
  <c r="AN40" i="5" s="1"/>
  <c r="AP13" i="5"/>
  <c r="AO13" i="5" s="1"/>
  <c r="AP24" i="5"/>
  <c r="AP29" i="5"/>
  <c r="AP52" i="5"/>
  <c r="AP19" i="5"/>
  <c r="AP51" i="5"/>
  <c r="AP34" i="5"/>
  <c r="AP20" i="5"/>
  <c r="AP25" i="5"/>
  <c r="AP49" i="5"/>
  <c r="AP16" i="5"/>
  <c r="AP21" i="5"/>
  <c r="W103" i="6"/>
  <c r="W47" i="6"/>
  <c r="W98" i="6"/>
  <c r="W102" i="6"/>
  <c r="W94" i="6"/>
  <c r="W86" i="6"/>
  <c r="W78" i="6"/>
  <c r="W70" i="6"/>
  <c r="W62" i="6"/>
  <c r="X54" i="6"/>
  <c r="AH54" i="6" s="1"/>
  <c r="X46" i="6"/>
  <c r="AH46" i="6" s="1"/>
  <c r="X38" i="6"/>
  <c r="AH38" i="6" s="1"/>
  <c r="W30" i="6"/>
  <c r="W22" i="6"/>
  <c r="W87" i="6"/>
  <c r="W55" i="6"/>
  <c r="W31" i="6"/>
  <c r="W96" i="6"/>
  <c r="W88" i="6"/>
  <c r="W80" i="6"/>
  <c r="W72" i="6"/>
  <c r="W64" i="6"/>
  <c r="W56" i="6"/>
  <c r="W48" i="6"/>
  <c r="W40" i="6"/>
  <c r="X32" i="6"/>
  <c r="AH32" i="6" s="1"/>
  <c r="W24" i="6"/>
  <c r="W16" i="6"/>
  <c r="W11" i="6"/>
  <c r="W104" i="6"/>
  <c r="W105" i="6"/>
  <c r="W97" i="6"/>
  <c r="W89" i="6"/>
  <c r="W81" i="6"/>
  <c r="W73" i="6"/>
  <c r="W65" i="6"/>
  <c r="W57" i="6"/>
  <c r="X49" i="6"/>
  <c r="AH49" i="6" s="1"/>
  <c r="W41" i="6"/>
  <c r="W33" i="6"/>
  <c r="W25" i="6"/>
  <c r="W17" i="6"/>
  <c r="W58" i="6"/>
  <c r="W50" i="6"/>
  <c r="W42" i="6"/>
  <c r="W34" i="6"/>
  <c r="W26" i="6"/>
  <c r="W18" i="6"/>
  <c r="W95" i="6"/>
  <c r="W79" i="6"/>
  <c r="W63" i="6"/>
  <c r="W23" i="6"/>
  <c r="W74" i="6"/>
  <c r="W107" i="6"/>
  <c r="W99" i="6"/>
  <c r="W91" i="6"/>
  <c r="W83" i="6"/>
  <c r="W75" i="6"/>
  <c r="W67" i="6"/>
  <c r="X59" i="6"/>
  <c r="AH59" i="6" s="1"/>
  <c r="W51" i="6"/>
  <c r="W43" i="6"/>
  <c r="W35" i="6"/>
  <c r="W27" i="6"/>
  <c r="X19" i="6"/>
  <c r="AH19" i="6" s="1"/>
  <c r="W71" i="6"/>
  <c r="W106" i="6"/>
  <c r="W82" i="6"/>
  <c r="W100" i="6"/>
  <c r="W92" i="6"/>
  <c r="W84" i="6"/>
  <c r="W76" i="6"/>
  <c r="W68" i="6"/>
  <c r="W60" i="6"/>
  <c r="W52" i="6"/>
  <c r="W44" i="6"/>
  <c r="W36" i="6"/>
  <c r="W28" i="6"/>
  <c r="W20" i="6"/>
  <c r="W39" i="6"/>
  <c r="W90" i="6"/>
  <c r="X66" i="6"/>
  <c r="AH66" i="6" s="1"/>
  <c r="W101" i="6"/>
  <c r="W93" i="6"/>
  <c r="W85" i="6"/>
  <c r="W77" i="6"/>
  <c r="W69" i="6"/>
  <c r="W61" i="6"/>
  <c r="W53" i="6"/>
  <c r="W45" i="6"/>
  <c r="W37" i="6"/>
  <c r="W29" i="6"/>
  <c r="W21" i="6"/>
  <c r="W14" i="6"/>
  <c r="Y69" i="6"/>
  <c r="Y37" i="6"/>
  <c r="Y65" i="6"/>
  <c r="Y33" i="6"/>
  <c r="Y61" i="6"/>
  <c r="Y29" i="6"/>
  <c r="Y57" i="6"/>
  <c r="Y25" i="6"/>
  <c r="Y53" i="6"/>
  <c r="Y21" i="6"/>
  <c r="Y49" i="6"/>
  <c r="Y17" i="6"/>
  <c r="Y77" i="6"/>
  <c r="Y45" i="6"/>
  <c r="Y73" i="6"/>
  <c r="Y41" i="6"/>
  <c r="Y105" i="6"/>
  <c r="Y101" i="6"/>
  <c r="Y97" i="6"/>
  <c r="Y93" i="6"/>
  <c r="Y89" i="6"/>
  <c r="Y85" i="6"/>
  <c r="Y81" i="6"/>
  <c r="X105" i="6"/>
  <c r="AH105" i="6" s="1"/>
  <c r="X101" i="6"/>
  <c r="AH101" i="6" s="1"/>
  <c r="X97" i="6"/>
  <c r="AH97" i="6" s="1"/>
  <c r="X93" i="6"/>
  <c r="AH93" i="6" s="1"/>
  <c r="X89" i="6"/>
  <c r="AH89" i="6" s="1"/>
  <c r="X85" i="6"/>
  <c r="AH85" i="6" s="1"/>
  <c r="X81" i="6"/>
  <c r="AH81" i="6" s="1"/>
  <c r="X77" i="6"/>
  <c r="AH77" i="6" s="1"/>
  <c r="X73" i="6"/>
  <c r="AH73" i="6" s="1"/>
  <c r="X69" i="6"/>
  <c r="AH69" i="6" s="1"/>
  <c r="X65" i="6"/>
  <c r="AH65" i="6" s="1"/>
  <c r="X61" i="6"/>
  <c r="AH61" i="6" s="1"/>
  <c r="X57" i="6"/>
  <c r="AH57" i="6" s="1"/>
  <c r="X53" i="6"/>
  <c r="AH53" i="6" s="1"/>
  <c r="X45" i="6"/>
  <c r="AH45" i="6" s="1"/>
  <c r="X41" i="6"/>
  <c r="AH41" i="6" s="1"/>
  <c r="X37" i="6"/>
  <c r="AH37" i="6" s="1"/>
  <c r="X33" i="6"/>
  <c r="AH33" i="6" s="1"/>
  <c r="X29" i="6"/>
  <c r="AH29" i="6" s="1"/>
  <c r="X25" i="6"/>
  <c r="AH25" i="6" s="1"/>
  <c r="X21" i="6"/>
  <c r="AH21" i="6" s="1"/>
  <c r="X17" i="6"/>
  <c r="AH17" i="6" s="1"/>
  <c r="Y104" i="6"/>
  <c r="Y100" i="6"/>
  <c r="Y96" i="6"/>
  <c r="Y92" i="6"/>
  <c r="Y88" i="6"/>
  <c r="Y84" i="6"/>
  <c r="Y80" i="6"/>
  <c r="Y76" i="6"/>
  <c r="Y72" i="6"/>
  <c r="Y68" i="6"/>
  <c r="Y64" i="6"/>
  <c r="Y60" i="6"/>
  <c r="Y56" i="6"/>
  <c r="Y52" i="6"/>
  <c r="Y48" i="6"/>
  <c r="Y44" i="6"/>
  <c r="Y40" i="6"/>
  <c r="Y36" i="6"/>
  <c r="Y32" i="6"/>
  <c r="Y28" i="6"/>
  <c r="Y24" i="6"/>
  <c r="Y20" i="6"/>
  <c r="Y16" i="6"/>
  <c r="Y11" i="6"/>
  <c r="X104" i="6"/>
  <c r="AH104" i="6" s="1"/>
  <c r="X100" i="6"/>
  <c r="AH100" i="6" s="1"/>
  <c r="X96" i="6"/>
  <c r="AH96" i="6" s="1"/>
  <c r="X92" i="6"/>
  <c r="AH92" i="6" s="1"/>
  <c r="X88" i="6"/>
  <c r="AH88" i="6" s="1"/>
  <c r="X84" i="6"/>
  <c r="AH84" i="6" s="1"/>
  <c r="X80" i="6"/>
  <c r="AH80" i="6" s="1"/>
  <c r="X76" i="6"/>
  <c r="AH76" i="6" s="1"/>
  <c r="X72" i="6"/>
  <c r="AH72" i="6" s="1"/>
  <c r="X68" i="6"/>
  <c r="AH68" i="6" s="1"/>
  <c r="X64" i="6"/>
  <c r="AH64" i="6" s="1"/>
  <c r="X60" i="6"/>
  <c r="AH60" i="6" s="1"/>
  <c r="X56" i="6"/>
  <c r="AH56" i="6" s="1"/>
  <c r="X52" i="6"/>
  <c r="AH52" i="6" s="1"/>
  <c r="X48" i="6"/>
  <c r="AH48" i="6" s="1"/>
  <c r="X44" i="6"/>
  <c r="AH44" i="6" s="1"/>
  <c r="X40" i="6"/>
  <c r="AH40" i="6" s="1"/>
  <c r="X36" i="6"/>
  <c r="AH36" i="6" s="1"/>
  <c r="X28" i="6"/>
  <c r="AH28" i="6" s="1"/>
  <c r="X24" i="6"/>
  <c r="AH24" i="6" s="1"/>
  <c r="X20" i="6"/>
  <c r="AH20" i="6" s="1"/>
  <c r="X16" i="6"/>
  <c r="AH16" i="6" s="1"/>
  <c r="X11" i="6"/>
  <c r="Y107" i="6"/>
  <c r="Y103" i="6"/>
  <c r="Y99" i="6"/>
  <c r="Y95" i="6"/>
  <c r="Y91" i="6"/>
  <c r="Y87" i="6"/>
  <c r="Y83" i="6"/>
  <c r="Y79" i="6"/>
  <c r="Y75" i="6"/>
  <c r="Y71" i="6"/>
  <c r="Y67" i="6"/>
  <c r="Y63" i="6"/>
  <c r="Y59" i="6"/>
  <c r="Y55" i="6"/>
  <c r="Y51" i="6"/>
  <c r="Y47" i="6"/>
  <c r="Y43" i="6"/>
  <c r="Y39" i="6"/>
  <c r="Y35" i="6"/>
  <c r="Y31" i="6"/>
  <c r="Y27" i="6"/>
  <c r="Y23" i="6"/>
  <c r="Y19" i="6"/>
  <c r="X107" i="6"/>
  <c r="AH107" i="6" s="1"/>
  <c r="X103" i="6"/>
  <c r="AH103" i="6" s="1"/>
  <c r="X99" i="6"/>
  <c r="AH99" i="6" s="1"/>
  <c r="X95" i="6"/>
  <c r="AH95" i="6" s="1"/>
  <c r="X91" i="6"/>
  <c r="AH91" i="6" s="1"/>
  <c r="X87" i="6"/>
  <c r="AH87" i="6" s="1"/>
  <c r="X83" i="6"/>
  <c r="AH83" i="6" s="1"/>
  <c r="X79" i="6"/>
  <c r="AH79" i="6" s="1"/>
  <c r="X75" i="6"/>
  <c r="AH75" i="6" s="1"/>
  <c r="X71" i="6"/>
  <c r="AH71" i="6" s="1"/>
  <c r="X67" i="6"/>
  <c r="AH67" i="6" s="1"/>
  <c r="X63" i="6"/>
  <c r="AH63" i="6" s="1"/>
  <c r="X55" i="6"/>
  <c r="AH55" i="6" s="1"/>
  <c r="X51" i="6"/>
  <c r="AH51" i="6" s="1"/>
  <c r="X47" i="6"/>
  <c r="AH47" i="6" s="1"/>
  <c r="X43" i="6"/>
  <c r="AH43" i="6" s="1"/>
  <c r="X39" i="6"/>
  <c r="AH39" i="6" s="1"/>
  <c r="X35" i="6"/>
  <c r="AH35" i="6" s="1"/>
  <c r="X31" i="6"/>
  <c r="AH31" i="6" s="1"/>
  <c r="X27" i="6"/>
  <c r="AH27" i="6" s="1"/>
  <c r="X23" i="6"/>
  <c r="AH23" i="6" s="1"/>
  <c r="Y106" i="6"/>
  <c r="Y102" i="6"/>
  <c r="Y98" i="6"/>
  <c r="Y94" i="6"/>
  <c r="Y90" i="6"/>
  <c r="Y86" i="6"/>
  <c r="Y82" i="6"/>
  <c r="Y78" i="6"/>
  <c r="Y74" i="6"/>
  <c r="Y70" i="6"/>
  <c r="Y66" i="6"/>
  <c r="Y62" i="6"/>
  <c r="Y58" i="6"/>
  <c r="Y54" i="6"/>
  <c r="Y50" i="6"/>
  <c r="Y46" i="6"/>
  <c r="Y42" i="6"/>
  <c r="Y38" i="6"/>
  <c r="Y34" i="6"/>
  <c r="Y30" i="6"/>
  <c r="Y26" i="6"/>
  <c r="Y22" i="6"/>
  <c r="Y18" i="6"/>
  <c r="Y14" i="6"/>
  <c r="X106" i="6"/>
  <c r="AH106" i="6" s="1"/>
  <c r="X102" i="6"/>
  <c r="AH102" i="6" s="1"/>
  <c r="X98" i="6"/>
  <c r="AH98" i="6" s="1"/>
  <c r="X94" i="6"/>
  <c r="AH94" i="6" s="1"/>
  <c r="X90" i="6"/>
  <c r="AH90" i="6" s="1"/>
  <c r="X86" i="6"/>
  <c r="AH86" i="6" s="1"/>
  <c r="X82" i="6"/>
  <c r="AH82" i="6" s="1"/>
  <c r="X78" i="6"/>
  <c r="AH78" i="6" s="1"/>
  <c r="X74" i="6"/>
  <c r="AH74" i="6" s="1"/>
  <c r="X70" i="6"/>
  <c r="AH70" i="6" s="1"/>
  <c r="X62" i="6"/>
  <c r="AH62" i="6" s="1"/>
  <c r="X58" i="6"/>
  <c r="AH58" i="6" s="1"/>
  <c r="X50" i="6"/>
  <c r="AH50" i="6" s="1"/>
  <c r="X42" i="6"/>
  <c r="AH42" i="6" s="1"/>
  <c r="X34" i="6"/>
  <c r="AH34" i="6" s="1"/>
  <c r="X30" i="6"/>
  <c r="AH30" i="6" s="1"/>
  <c r="X26" i="6"/>
  <c r="AH26" i="6" s="1"/>
  <c r="X22" i="6"/>
  <c r="AH22" i="6" s="1"/>
  <c r="X18" i="6"/>
  <c r="AH18" i="6" s="1"/>
  <c r="X14" i="6"/>
  <c r="S21" i="6"/>
  <c r="F20" i="6"/>
  <c r="P96" i="6"/>
  <c r="U95" i="6"/>
  <c r="P83" i="6"/>
  <c r="U82" i="6"/>
  <c r="S39" i="6"/>
  <c r="F45" i="6"/>
  <c r="T95" i="6"/>
  <c r="T81" i="6"/>
  <c r="T68" i="6"/>
  <c r="T23" i="6"/>
  <c r="S23" i="6"/>
  <c r="P91" i="6"/>
  <c r="U90" i="6"/>
  <c r="U106" i="6"/>
  <c r="U104" i="6"/>
  <c r="Q46" i="6"/>
  <c r="S45" i="6"/>
  <c r="F15" i="6"/>
  <c r="Q100" i="6"/>
  <c r="T73" i="6"/>
  <c r="P53" i="6"/>
  <c r="U26" i="6"/>
  <c r="F44" i="6"/>
  <c r="F76" i="6"/>
  <c r="F23" i="6"/>
  <c r="F85" i="6"/>
  <c r="U76" i="6"/>
  <c r="U103" i="6"/>
  <c r="T76" i="6"/>
  <c r="T38" i="6"/>
  <c r="AK102" i="6"/>
  <c r="AK22" i="6"/>
  <c r="F93" i="6"/>
  <c r="F47" i="6"/>
  <c r="Q55" i="6"/>
  <c r="U11" i="6"/>
  <c r="F31" i="6"/>
  <c r="F63" i="6"/>
  <c r="F95" i="6"/>
  <c r="AK38" i="6"/>
  <c r="F21" i="6"/>
  <c r="F37" i="6"/>
  <c r="F53" i="6"/>
  <c r="F101" i="6"/>
  <c r="T106" i="6"/>
  <c r="U88" i="6"/>
  <c r="P65" i="6"/>
  <c r="P54" i="6"/>
  <c r="P46" i="6"/>
  <c r="U45" i="6"/>
  <c r="S38" i="6"/>
  <c r="P26" i="6"/>
  <c r="Q21" i="6"/>
  <c r="S11" i="6"/>
  <c r="AK53" i="6"/>
  <c r="AL53" i="6" s="1"/>
  <c r="AF53" i="6" s="1"/>
  <c r="AK45" i="6"/>
  <c r="AL45" i="6" s="1"/>
  <c r="AF45" i="6" s="1"/>
  <c r="AK21" i="6"/>
  <c r="AL21" i="6" s="1"/>
  <c r="AF21" i="6" s="1"/>
  <c r="F22" i="6"/>
  <c r="F38" i="6"/>
  <c r="F46" i="6"/>
  <c r="F70" i="6"/>
  <c r="F86" i="6"/>
  <c r="F94" i="6"/>
  <c r="F102" i="6"/>
  <c r="F40" i="6"/>
  <c r="F48" i="6"/>
  <c r="F64" i="6"/>
  <c r="F72" i="6"/>
  <c r="F88" i="6"/>
  <c r="F96" i="6"/>
  <c r="F104" i="6"/>
  <c r="Q86" i="6"/>
  <c r="S73" i="6"/>
  <c r="T47" i="6"/>
  <c r="S43" i="6"/>
  <c r="P34" i="6"/>
  <c r="T22" i="6"/>
  <c r="P20" i="6"/>
  <c r="U19" i="6"/>
  <c r="F25" i="6"/>
  <c r="F33" i="6"/>
  <c r="F49" i="6"/>
  <c r="F57" i="6"/>
  <c r="F65" i="6"/>
  <c r="F81" i="6"/>
  <c r="F105" i="6"/>
  <c r="F39" i="6"/>
  <c r="T101" i="6"/>
  <c r="U93" i="6"/>
  <c r="T84" i="6"/>
  <c r="U46" i="6"/>
  <c r="S27" i="6"/>
  <c r="AJ27" i="6" s="1"/>
  <c r="S22" i="6"/>
  <c r="F26" i="6"/>
  <c r="F34" i="6"/>
  <c r="F50" i="6"/>
  <c r="F58" i="6"/>
  <c r="F66" i="6"/>
  <c r="F74" i="6"/>
  <c r="F82" i="6"/>
  <c r="F90" i="6"/>
  <c r="F98" i="6"/>
  <c r="F106" i="6"/>
  <c r="F84" i="6"/>
  <c r="S101" i="6"/>
  <c r="S84" i="6"/>
  <c r="S46" i="6"/>
  <c r="F11" i="6"/>
  <c r="F19" i="6"/>
  <c r="F27" i="6"/>
  <c r="AE27" i="6" s="1"/>
  <c r="F43" i="6"/>
  <c r="F67" i="6"/>
  <c r="F83" i="6"/>
  <c r="F91" i="6"/>
  <c r="AK69" i="6"/>
  <c r="AL69" i="6" s="1"/>
  <c r="AF69" i="6" s="1"/>
  <c r="AK54" i="6"/>
  <c r="P28" i="6"/>
  <c r="S19" i="6"/>
  <c r="AK92" i="6"/>
  <c r="AL92" i="6" s="1"/>
  <c r="AF92" i="6" s="1"/>
  <c r="AK20" i="6"/>
  <c r="AK91" i="6"/>
  <c r="AK83" i="6"/>
  <c r="AK75" i="6"/>
  <c r="AK51" i="6"/>
  <c r="AK43" i="6"/>
  <c r="S104" i="6"/>
  <c r="P85" i="6"/>
  <c r="P59" i="6"/>
  <c r="T58" i="6"/>
  <c r="T48" i="6"/>
  <c r="P42" i="6"/>
  <c r="U37" i="6"/>
  <c r="Q33" i="6"/>
  <c r="Q25" i="6"/>
  <c r="AK106" i="6"/>
  <c r="AK98" i="6"/>
  <c r="AK90" i="6"/>
  <c r="AK82" i="6"/>
  <c r="AK74" i="6"/>
  <c r="AK66" i="6"/>
  <c r="AK58" i="6"/>
  <c r="AK50" i="6"/>
  <c r="AK42" i="6"/>
  <c r="AK26" i="6"/>
  <c r="AK18" i="6"/>
  <c r="AK73" i="6"/>
  <c r="AK65" i="6"/>
  <c r="AK41" i="6"/>
  <c r="AK33" i="6"/>
  <c r="AK86" i="6"/>
  <c r="AK30" i="6"/>
  <c r="AK48" i="6"/>
  <c r="AK40" i="6"/>
  <c r="AK24" i="6"/>
  <c r="AK16" i="6"/>
  <c r="AK46" i="6"/>
  <c r="U96" i="6"/>
  <c r="U86" i="6"/>
  <c r="Q81" i="6"/>
  <c r="U74" i="6"/>
  <c r="U64" i="6"/>
  <c r="S47" i="6"/>
  <c r="P36" i="6"/>
  <c r="U34" i="6"/>
  <c r="Q30" i="6"/>
  <c r="T26" i="6"/>
  <c r="AK95" i="6"/>
  <c r="AK47" i="6"/>
  <c r="AK31" i="6"/>
  <c r="AK23" i="6"/>
  <c r="AK77" i="6"/>
  <c r="S86" i="6"/>
  <c r="AK78" i="6"/>
  <c r="S74" i="6"/>
  <c r="P72" i="6"/>
  <c r="P50" i="6"/>
  <c r="U43" i="6"/>
  <c r="P29" i="6"/>
  <c r="Q107" i="6"/>
  <c r="Q97" i="6"/>
  <c r="Q87" i="6"/>
  <c r="P87" i="6"/>
  <c r="T35" i="6"/>
  <c r="S35" i="6"/>
  <c r="U35" i="6"/>
  <c r="T30" i="6"/>
  <c r="U15" i="6"/>
  <c r="S15" i="6"/>
  <c r="AK105" i="6"/>
  <c r="AK97" i="6"/>
  <c r="AK89" i="6"/>
  <c r="AK81" i="6"/>
  <c r="AK57" i="6"/>
  <c r="AK49" i="6"/>
  <c r="AK25" i="6"/>
  <c r="AK17" i="6"/>
  <c r="AK94" i="6"/>
  <c r="T87" i="6"/>
  <c r="U87" i="6"/>
  <c r="AK34" i="6"/>
  <c r="T100" i="6"/>
  <c r="P35" i="6"/>
  <c r="S30" i="6"/>
  <c r="U30" i="6"/>
  <c r="AK104" i="6"/>
  <c r="AK96" i="6"/>
  <c r="AK88" i="6"/>
  <c r="AK80" i="6"/>
  <c r="AK72" i="6"/>
  <c r="AK64" i="6"/>
  <c r="AL64" i="6" s="1"/>
  <c r="AF64" i="6" s="1"/>
  <c r="AK56" i="6"/>
  <c r="AK32" i="6"/>
  <c r="S59" i="6"/>
  <c r="U59" i="6"/>
  <c r="P45" i="6"/>
  <c r="T103" i="6"/>
  <c r="S103" i="6"/>
  <c r="T80" i="6"/>
  <c r="S80" i="6"/>
  <c r="U80" i="6"/>
  <c r="P73" i="6"/>
  <c r="S68" i="6"/>
  <c r="U68" i="6"/>
  <c r="T52" i="6"/>
  <c r="S52" i="6"/>
  <c r="T42" i="6"/>
  <c r="U42" i="6"/>
  <c r="T29" i="6"/>
  <c r="S29" i="6"/>
  <c r="U29" i="6"/>
  <c r="AK103" i="6"/>
  <c r="AK87" i="6"/>
  <c r="AK79" i="6"/>
  <c r="AK71" i="6"/>
  <c r="AK63" i="6"/>
  <c r="AK55" i="6"/>
  <c r="AK39" i="6"/>
  <c r="P99" i="6"/>
  <c r="Q99" i="6"/>
  <c r="U98" i="6"/>
  <c r="S90" i="6"/>
  <c r="P75" i="6"/>
  <c r="Q75" i="6"/>
  <c r="U62" i="6"/>
  <c r="P58" i="6"/>
  <c r="S57" i="6"/>
  <c r="U57" i="6"/>
  <c r="T56" i="6"/>
  <c r="S56" i="6"/>
  <c r="U56" i="6"/>
  <c r="P48" i="6"/>
  <c r="W19" i="6"/>
  <c r="AK70" i="6"/>
  <c r="P103" i="6"/>
  <c r="S98" i="6"/>
  <c r="S89" i="6"/>
  <c r="T89" i="6"/>
  <c r="P79" i="6"/>
  <c r="P67" i="6"/>
  <c r="Q67" i="6"/>
  <c r="U66" i="6"/>
  <c r="Q63" i="6"/>
  <c r="P63" i="6"/>
  <c r="W49" i="6"/>
  <c r="AK101" i="6"/>
  <c r="AL101" i="6" s="1"/>
  <c r="AF101" i="6" s="1"/>
  <c r="AK93" i="6"/>
  <c r="AK85" i="6"/>
  <c r="AL85" i="6" s="1"/>
  <c r="AF85" i="6" s="1"/>
  <c r="AK61" i="6"/>
  <c r="AL61" i="6" s="1"/>
  <c r="AF61" i="6" s="1"/>
  <c r="AK37" i="6"/>
  <c r="AL37" i="6" s="1"/>
  <c r="AF37" i="6" s="1"/>
  <c r="AK29" i="6"/>
  <c r="AK62" i="6"/>
  <c r="P95" i="6"/>
  <c r="Q95" i="6"/>
  <c r="S66" i="6"/>
  <c r="P38" i="6"/>
  <c r="AK100" i="6"/>
  <c r="AK84" i="6"/>
  <c r="AL84" i="6" s="1"/>
  <c r="AF84" i="6" s="1"/>
  <c r="AK76" i="6"/>
  <c r="AL76" i="6" s="1"/>
  <c r="AF76" i="6" s="1"/>
  <c r="AK68" i="6"/>
  <c r="AK60" i="6"/>
  <c r="AL60" i="6" s="1"/>
  <c r="AF60" i="6" s="1"/>
  <c r="AK52" i="6"/>
  <c r="AL52" i="6" s="1"/>
  <c r="AF52" i="6" s="1"/>
  <c r="AK44" i="6"/>
  <c r="AL44" i="6" s="1"/>
  <c r="AF44" i="6" s="1"/>
  <c r="AK36" i="6"/>
  <c r="AL36" i="6" s="1"/>
  <c r="AF36" i="6" s="1"/>
  <c r="P102" i="6"/>
  <c r="Q102" i="6"/>
  <c r="S54" i="6"/>
  <c r="T54" i="6"/>
  <c r="U54" i="6"/>
  <c r="Q18" i="6"/>
  <c r="P18" i="6"/>
  <c r="P105" i="6"/>
  <c r="S97" i="6"/>
  <c r="T97" i="6"/>
  <c r="Q89" i="6"/>
  <c r="P71" i="6"/>
  <c r="T59" i="6"/>
  <c r="Q45" i="6"/>
  <c r="P37" i="6"/>
  <c r="Q37" i="6"/>
  <c r="S36" i="6"/>
  <c r="S18" i="6"/>
  <c r="T18" i="6"/>
  <c r="U18" i="6"/>
  <c r="AK107" i="6"/>
  <c r="AK99" i="6"/>
  <c r="AK67" i="6"/>
  <c r="AK59" i="6"/>
  <c r="AK35" i="6"/>
  <c r="AK27" i="6"/>
  <c r="AK19" i="6"/>
  <c r="T96" i="6"/>
  <c r="Q93" i="6"/>
  <c r="Q90" i="6"/>
  <c r="S88" i="6"/>
  <c r="T82" i="6"/>
  <c r="P81" i="6"/>
  <c r="U72" i="6"/>
  <c r="T67" i="6"/>
  <c r="Q66" i="6"/>
  <c r="S64" i="6"/>
  <c r="U53" i="6"/>
  <c r="P44" i="6"/>
  <c r="S37" i="6"/>
  <c r="T34" i="6"/>
  <c r="T31" i="6"/>
  <c r="P30" i="6"/>
  <c r="S28" i="6"/>
  <c r="AJ28" i="6" s="1"/>
  <c r="Q22" i="6"/>
  <c r="P19" i="6"/>
  <c r="Q17" i="6"/>
  <c r="Q78" i="6"/>
  <c r="S72" i="6"/>
  <c r="P51" i="6"/>
  <c r="S31" i="6"/>
  <c r="P22" i="6"/>
  <c r="Q72" i="6"/>
  <c r="U21" i="6"/>
  <c r="Q54" i="6"/>
  <c r="T39" i="6"/>
  <c r="U27" i="6"/>
  <c r="AG27" i="6" s="1"/>
  <c r="P101" i="6"/>
  <c r="S99" i="6"/>
  <c r="T99" i="6"/>
  <c r="U99" i="6"/>
  <c r="P94" i="6"/>
  <c r="T78" i="6"/>
  <c r="S78" i="6"/>
  <c r="U78" i="6"/>
  <c r="S71" i="6"/>
  <c r="T71" i="6"/>
  <c r="P69" i="6"/>
  <c r="Q69" i="6"/>
  <c r="T60" i="6"/>
  <c r="S60" i="6"/>
  <c r="U60" i="6"/>
  <c r="P106" i="6"/>
  <c r="Q106" i="6"/>
  <c r="U97" i="6"/>
  <c r="P84" i="6"/>
  <c r="Q84" i="6"/>
  <c r="U105" i="6"/>
  <c r="P92" i="6"/>
  <c r="P88" i="6"/>
  <c r="Q88" i="6"/>
  <c r="P98" i="6"/>
  <c r="Q98" i="6"/>
  <c r="P80" i="6"/>
  <c r="U55" i="6"/>
  <c r="T55" i="6"/>
  <c r="S55" i="6"/>
  <c r="Q104" i="6"/>
  <c r="T91" i="6"/>
  <c r="S79" i="6"/>
  <c r="T79" i="6"/>
  <c r="U79" i="6"/>
  <c r="S77" i="6"/>
  <c r="U77" i="6"/>
  <c r="T77" i="6"/>
  <c r="P76" i="6"/>
  <c r="Q76" i="6"/>
  <c r="W66" i="6"/>
  <c r="S62" i="6"/>
  <c r="T62" i="6"/>
  <c r="Q101" i="6"/>
  <c r="T102" i="6"/>
  <c r="U102" i="6"/>
  <c r="U100" i="6"/>
  <c r="S91" i="6"/>
  <c r="S75" i="6"/>
  <c r="U75" i="6"/>
  <c r="T75" i="6"/>
  <c r="S70" i="6"/>
  <c r="T70" i="6"/>
  <c r="P62" i="6"/>
  <c r="Q62" i="6"/>
  <c r="T94" i="6"/>
  <c r="U94" i="6"/>
  <c r="P82" i="6"/>
  <c r="P74" i="6"/>
  <c r="P70" i="6"/>
  <c r="Q70" i="6"/>
  <c r="S61" i="6"/>
  <c r="U61" i="6"/>
  <c r="T61" i="6"/>
  <c r="S107" i="6"/>
  <c r="T107" i="6"/>
  <c r="U107" i="6"/>
  <c r="T105" i="6"/>
  <c r="S100" i="6"/>
  <c r="T93" i="6"/>
  <c r="S92" i="6"/>
  <c r="T92" i="6"/>
  <c r="U92" i="6"/>
  <c r="U89" i="6"/>
  <c r="U71" i="6"/>
  <c r="S69" i="6"/>
  <c r="U69" i="6"/>
  <c r="T69" i="6"/>
  <c r="S63" i="6"/>
  <c r="T63" i="6"/>
  <c r="P61" i="6"/>
  <c r="Q61" i="6"/>
  <c r="Q52" i="6"/>
  <c r="P52" i="6"/>
  <c r="P23" i="6"/>
  <c r="Q23" i="6"/>
  <c r="Q77" i="6"/>
  <c r="U73" i="6"/>
  <c r="P68" i="6"/>
  <c r="S51" i="6"/>
  <c r="T51" i="6"/>
  <c r="U51" i="6"/>
  <c r="P47" i="6"/>
  <c r="P40" i="6"/>
  <c r="Q40" i="6"/>
  <c r="W32" i="6"/>
  <c r="S17" i="6"/>
  <c r="T17" i="6"/>
  <c r="U17" i="6"/>
  <c r="S87" i="6"/>
  <c r="S85" i="6"/>
  <c r="U85" i="6"/>
  <c r="S83" i="6"/>
  <c r="U83" i="6"/>
  <c r="T65" i="6"/>
  <c r="U65" i="6"/>
  <c r="P60" i="6"/>
  <c r="S49" i="6"/>
  <c r="T49" i="6"/>
  <c r="S41" i="6"/>
  <c r="T41" i="6"/>
  <c r="U41" i="6"/>
  <c r="W59" i="6"/>
  <c r="P56" i="6"/>
  <c r="Q56" i="6"/>
  <c r="Q43" i="6"/>
  <c r="P43" i="6"/>
  <c r="Q85" i="6"/>
  <c r="U81" i="6"/>
  <c r="Q64" i="6"/>
  <c r="S50" i="6"/>
  <c r="U50" i="6"/>
  <c r="P39" i="6"/>
  <c r="Q39" i="6"/>
  <c r="P31" i="6"/>
  <c r="Q31" i="6"/>
  <c r="T36" i="6"/>
  <c r="U36" i="6"/>
  <c r="S32" i="6"/>
  <c r="T32" i="6"/>
  <c r="U32" i="6"/>
  <c r="S40" i="6"/>
  <c r="U40" i="6"/>
  <c r="Q35" i="6"/>
  <c r="P32" i="6"/>
  <c r="Q32" i="6"/>
  <c r="P15" i="6"/>
  <c r="Q15" i="6"/>
  <c r="U67" i="6"/>
  <c r="U58" i="6"/>
  <c r="P57" i="6"/>
  <c r="T53" i="6"/>
  <c r="U52" i="6"/>
  <c r="S48" i="6"/>
  <c r="W46" i="6"/>
  <c r="S33" i="6"/>
  <c r="T33" i="6"/>
  <c r="T28" i="6"/>
  <c r="U28" i="6"/>
  <c r="AG28" i="6" s="1"/>
  <c r="S24" i="6"/>
  <c r="T24" i="6"/>
  <c r="U24" i="6"/>
  <c r="S16" i="6"/>
  <c r="T16" i="6"/>
  <c r="U16" i="6"/>
  <c r="P49" i="6"/>
  <c r="S42" i="6"/>
  <c r="P41" i="6"/>
  <c r="Q27" i="6"/>
  <c r="P24" i="6"/>
  <c r="Q24" i="6"/>
  <c r="P16" i="6"/>
  <c r="Q16" i="6"/>
  <c r="Q48" i="6"/>
  <c r="W38" i="6"/>
  <c r="W54" i="6"/>
  <c r="T44" i="6"/>
  <c r="U44" i="6"/>
  <c r="S25" i="6"/>
  <c r="T25" i="6"/>
  <c r="T20" i="6"/>
  <c r="U20" i="6"/>
  <c r="AB8" i="6"/>
  <c r="Z8" i="6"/>
  <c r="BF3" i="18"/>
  <c r="BE3" i="18"/>
  <c r="BG3" i="18"/>
  <c r="BH3" i="18"/>
  <c r="BD3" i="18"/>
  <c r="AV3" i="18"/>
  <c r="AW3" i="18"/>
  <c r="AX3" i="18"/>
  <c r="AY3" i="18"/>
  <c r="AZ3" i="18"/>
  <c r="BA3" i="18"/>
  <c r="BB3" i="18"/>
  <c r="BC3" i="18"/>
  <c r="AU3" i="18"/>
  <c r="AQ3" i="18"/>
  <c r="AR3" i="18"/>
  <c r="AS3" i="18"/>
  <c r="AT3" i="18"/>
  <c r="AP3" i="18"/>
  <c r="AM5" i="18"/>
  <c r="AM7" i="18"/>
  <c r="AM8" i="18"/>
  <c r="AM9" i="18"/>
  <c r="AM10" i="18"/>
  <c r="AM11" i="18"/>
  <c r="AM12" i="18"/>
  <c r="AM13" i="18"/>
  <c r="AM14" i="18"/>
  <c r="AM15" i="18"/>
  <c r="AM16" i="18"/>
  <c r="AM17" i="18"/>
  <c r="AM18" i="18"/>
  <c r="AM19" i="18"/>
  <c r="AM20" i="18"/>
  <c r="AM21" i="18"/>
  <c r="AM22" i="18"/>
  <c r="AM23" i="18"/>
  <c r="AM24" i="18"/>
  <c r="AM25" i="18"/>
  <c r="AM26" i="18"/>
  <c r="AM27" i="18"/>
  <c r="AM28" i="18"/>
  <c r="AM29" i="18"/>
  <c r="AM30" i="18"/>
  <c r="AM31" i="18"/>
  <c r="AM32" i="18"/>
  <c r="AM33" i="18"/>
  <c r="AM34" i="18"/>
  <c r="AM35" i="18"/>
  <c r="AM36" i="18"/>
  <c r="AM37" i="18"/>
  <c r="AM38" i="18"/>
  <c r="AM39" i="18"/>
  <c r="AM40" i="18"/>
  <c r="AM41" i="18"/>
  <c r="AM42" i="18"/>
  <c r="AM43" i="18"/>
  <c r="AM44" i="18"/>
  <c r="AM45" i="18"/>
  <c r="AM46" i="18"/>
  <c r="AM47" i="18"/>
  <c r="AM48" i="18"/>
  <c r="AM49" i="18"/>
  <c r="AM50" i="18"/>
  <c r="AM4" i="18"/>
  <c r="A1" i="18"/>
  <c r="A3" i="19"/>
  <c r="A4" i="19"/>
  <c r="A5" i="19"/>
  <c r="A6" i="19"/>
  <c r="A7" i="19"/>
  <c r="A8" i="19"/>
  <c r="A9" i="19"/>
  <c r="A10" i="19"/>
  <c r="A11"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29" i="19"/>
  <c r="A130" i="19"/>
  <c r="A131" i="19"/>
  <c r="A132" i="19"/>
  <c r="A133" i="19"/>
  <c r="A134" i="19"/>
  <c r="A135" i="19"/>
  <c r="A136" i="19"/>
  <c r="A137" i="19"/>
  <c r="A138" i="19"/>
  <c r="A139" i="19"/>
  <c r="A140" i="19"/>
  <c r="A141" i="19"/>
  <c r="A142" i="19"/>
  <c r="A143"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A184" i="19"/>
  <c r="A185" i="19"/>
  <c r="A186" i="19"/>
  <c r="A187" i="19"/>
  <c r="A188" i="19"/>
  <c r="A189" i="19"/>
  <c r="A190" i="19"/>
  <c r="A191" i="19"/>
  <c r="A192" i="19"/>
  <c r="A193" i="19"/>
  <c r="A194" i="19"/>
  <c r="A195" i="19"/>
  <c r="A196" i="19"/>
  <c r="A197" i="19"/>
  <c r="A198" i="19"/>
  <c r="A199" i="19"/>
  <c r="A200" i="19"/>
  <c r="A201" i="19"/>
  <c r="A202" i="19"/>
  <c r="A203" i="19"/>
  <c r="A204" i="19"/>
  <c r="A205" i="19"/>
  <c r="A206" i="19"/>
  <c r="A207" i="19"/>
  <c r="A208" i="19"/>
  <c r="A209" i="19"/>
  <c r="A210" i="19"/>
  <c r="A211" i="19"/>
  <c r="A212" i="19"/>
  <c r="A213" i="19"/>
  <c r="A214" i="19"/>
  <c r="A215" i="19"/>
  <c r="A216" i="19"/>
  <c r="A217" i="19"/>
  <c r="A218" i="19"/>
  <c r="A219" i="19"/>
  <c r="A220" i="19"/>
  <c r="A221" i="19"/>
  <c r="A222" i="19"/>
  <c r="A223" i="19"/>
  <c r="A224" i="19"/>
  <c r="A225" i="19"/>
  <c r="A226" i="19"/>
  <c r="A227" i="19"/>
  <c r="A228" i="19"/>
  <c r="A229" i="19"/>
  <c r="A230" i="19"/>
  <c r="A231" i="19"/>
  <c r="A232" i="19"/>
  <c r="A233" i="19"/>
  <c r="A234" i="19"/>
  <c r="A235" i="19"/>
  <c r="A236" i="19"/>
  <c r="A237" i="19"/>
  <c r="A238" i="19"/>
  <c r="A239" i="19"/>
  <c r="A240" i="19"/>
  <c r="A241" i="19"/>
  <c r="A242" i="19"/>
  <c r="A243" i="19"/>
  <c r="A244" i="19"/>
  <c r="A245" i="19"/>
  <c r="A246" i="19"/>
  <c r="A247" i="19"/>
  <c r="A248" i="19"/>
  <c r="A249" i="19"/>
  <c r="A250" i="19"/>
  <c r="A2" i="19"/>
  <c r="I3" i="19"/>
  <c r="I4" i="19"/>
  <c r="I5" i="19"/>
  <c r="I6" i="19"/>
  <c r="I7" i="19"/>
  <c r="I2" i="19"/>
  <c r="R8" i="5"/>
  <c r="B92" i="6"/>
  <c r="B83" i="6"/>
  <c r="B76" i="6"/>
  <c r="B67" i="6"/>
  <c r="B60" i="6"/>
  <c r="B59" i="6"/>
  <c r="B52" i="6"/>
  <c r="B51" i="6"/>
  <c r="B43" i="6"/>
  <c r="B36" i="6"/>
  <c r="B35" i="6"/>
  <c r="B45" i="6"/>
  <c r="B54" i="6"/>
  <c r="B61" i="6"/>
  <c r="B19" i="6"/>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8" i="10"/>
  <c r="AO57" i="5" l="1"/>
  <c r="AN57" i="5"/>
  <c r="H21" i="6"/>
  <c r="AJ21" i="6"/>
  <c r="J21" i="6" s="1"/>
  <c r="H53" i="6"/>
  <c r="AJ53" i="6"/>
  <c r="J53" i="6" s="1"/>
  <c r="H58" i="6"/>
  <c r="AJ58" i="6"/>
  <c r="H81" i="6"/>
  <c r="AJ81" i="6"/>
  <c r="H99" i="6"/>
  <c r="AJ99" i="6"/>
  <c r="H74" i="6"/>
  <c r="AJ74" i="6"/>
  <c r="H32" i="6"/>
  <c r="AJ32" i="6"/>
  <c r="H107" i="6"/>
  <c r="AJ107" i="6"/>
  <c r="H75" i="6"/>
  <c r="AJ75" i="6"/>
  <c r="H79" i="6"/>
  <c r="AJ79" i="6"/>
  <c r="H71" i="6"/>
  <c r="AJ71" i="6"/>
  <c r="H18" i="6"/>
  <c r="AJ18" i="6"/>
  <c r="H29" i="6"/>
  <c r="AJ29" i="6"/>
  <c r="H59" i="6"/>
  <c r="AJ59" i="6"/>
  <c r="H19" i="6"/>
  <c r="AJ19" i="6"/>
  <c r="H76" i="6"/>
  <c r="AJ76" i="6"/>
  <c r="J76" i="6" s="1"/>
  <c r="H96" i="6"/>
  <c r="AJ96" i="6"/>
  <c r="H98" i="6"/>
  <c r="AJ98" i="6"/>
  <c r="H33" i="6"/>
  <c r="AJ33" i="6"/>
  <c r="H31" i="6"/>
  <c r="AJ31" i="6"/>
  <c r="H104" i="6"/>
  <c r="AJ104" i="6"/>
  <c r="H16" i="6"/>
  <c r="AJ16" i="6"/>
  <c r="H36" i="6"/>
  <c r="AJ36" i="6"/>
  <c r="J36" i="6" s="1"/>
  <c r="H97" i="6"/>
  <c r="AJ97" i="6"/>
  <c r="H15" i="6"/>
  <c r="AJ15" i="6"/>
  <c r="H86" i="6"/>
  <c r="AJ86" i="6"/>
  <c r="H22" i="6"/>
  <c r="AJ22" i="6"/>
  <c r="H39" i="6"/>
  <c r="AJ39" i="6"/>
  <c r="H94" i="6"/>
  <c r="AJ94" i="6"/>
  <c r="H20" i="6"/>
  <c r="AJ20" i="6"/>
  <c r="H102" i="6"/>
  <c r="AJ102" i="6"/>
  <c r="H82" i="6"/>
  <c r="AJ82" i="6"/>
  <c r="H105" i="6"/>
  <c r="AJ105" i="6"/>
  <c r="H51" i="6"/>
  <c r="AJ51" i="6"/>
  <c r="H57" i="6"/>
  <c r="AJ57" i="6"/>
  <c r="H17" i="6"/>
  <c r="AJ17" i="6"/>
  <c r="H91" i="6"/>
  <c r="AJ91" i="6"/>
  <c r="H63" i="6"/>
  <c r="AJ63" i="6"/>
  <c r="H78" i="6"/>
  <c r="AJ78" i="6"/>
  <c r="H30" i="6"/>
  <c r="AJ30" i="6"/>
  <c r="H24" i="6"/>
  <c r="AJ24" i="6"/>
  <c r="H41" i="6"/>
  <c r="AJ41" i="6"/>
  <c r="H61" i="6"/>
  <c r="AJ61" i="6"/>
  <c r="J61" i="6" s="1"/>
  <c r="H55" i="6"/>
  <c r="AJ55" i="6"/>
  <c r="H60" i="6"/>
  <c r="AJ60" i="6"/>
  <c r="J60" i="6" s="1"/>
  <c r="H88" i="6"/>
  <c r="AJ88" i="6"/>
  <c r="H66" i="6"/>
  <c r="AJ66" i="6"/>
  <c r="H47" i="6"/>
  <c r="AJ47" i="6"/>
  <c r="H46" i="6"/>
  <c r="AJ46" i="6"/>
  <c r="H43" i="6"/>
  <c r="AJ43" i="6"/>
  <c r="H38" i="6"/>
  <c r="AJ38" i="6"/>
  <c r="H23" i="6"/>
  <c r="AJ23" i="6"/>
  <c r="H26" i="6"/>
  <c r="AJ26" i="6"/>
  <c r="H54" i="6"/>
  <c r="AJ54" i="6"/>
  <c r="H50" i="6"/>
  <c r="AJ50" i="6"/>
  <c r="H72" i="6"/>
  <c r="AJ72" i="6"/>
  <c r="H92" i="6"/>
  <c r="AJ92" i="6"/>
  <c r="J92" i="6" s="1"/>
  <c r="H37" i="6"/>
  <c r="AJ37" i="6"/>
  <c r="J37" i="6" s="1"/>
  <c r="H80" i="6"/>
  <c r="AJ80" i="6"/>
  <c r="H42" i="6"/>
  <c r="AJ42" i="6"/>
  <c r="H85" i="6"/>
  <c r="AJ85" i="6"/>
  <c r="J85" i="6" s="1"/>
  <c r="H100" i="6"/>
  <c r="AJ100" i="6"/>
  <c r="H56" i="6"/>
  <c r="AJ56" i="6"/>
  <c r="H90" i="6"/>
  <c r="AJ90" i="6"/>
  <c r="H52" i="6"/>
  <c r="AJ52" i="6"/>
  <c r="J52" i="6" s="1"/>
  <c r="H103" i="6"/>
  <c r="AJ103" i="6"/>
  <c r="H84" i="6"/>
  <c r="AJ84" i="6"/>
  <c r="J84" i="6" s="1"/>
  <c r="H93" i="6"/>
  <c r="AJ93" i="6"/>
  <c r="H44" i="6"/>
  <c r="AJ44" i="6"/>
  <c r="J44" i="6" s="1"/>
  <c r="H67" i="6"/>
  <c r="AJ67" i="6"/>
  <c r="H34" i="6"/>
  <c r="AJ34" i="6"/>
  <c r="H95" i="6"/>
  <c r="AJ95" i="6"/>
  <c r="H62" i="6"/>
  <c r="AJ62" i="6"/>
  <c r="H68" i="6"/>
  <c r="AJ68" i="6"/>
  <c r="H25" i="6"/>
  <c r="AJ25" i="6"/>
  <c r="H48" i="6"/>
  <c r="AJ48" i="6"/>
  <c r="H83" i="6"/>
  <c r="AJ83" i="6"/>
  <c r="H40" i="6"/>
  <c r="AJ40" i="6"/>
  <c r="H49" i="6"/>
  <c r="AJ49" i="6"/>
  <c r="H87" i="6"/>
  <c r="AJ87" i="6"/>
  <c r="H69" i="6"/>
  <c r="AJ69" i="6"/>
  <c r="J69" i="6" s="1"/>
  <c r="H70" i="6"/>
  <c r="AJ70" i="6"/>
  <c r="H77" i="6"/>
  <c r="AJ77" i="6"/>
  <c r="H64" i="6"/>
  <c r="AJ64" i="6"/>
  <c r="J64" i="6" s="1"/>
  <c r="H89" i="6"/>
  <c r="AJ89" i="6"/>
  <c r="H35" i="6"/>
  <c r="AJ35" i="6"/>
  <c r="H101" i="6"/>
  <c r="AJ101" i="6"/>
  <c r="J101" i="6" s="1"/>
  <c r="H73" i="6"/>
  <c r="AJ73" i="6"/>
  <c r="H45" i="6"/>
  <c r="AJ45" i="6"/>
  <c r="J45" i="6" s="1"/>
  <c r="H106" i="6"/>
  <c r="AJ106" i="6"/>
  <c r="H65" i="6"/>
  <c r="AJ65" i="6"/>
  <c r="AO4" i="18"/>
  <c r="AO6" i="18"/>
  <c r="AN56" i="5"/>
  <c r="AQ18" i="5"/>
  <c r="AN18" i="5"/>
  <c r="AO35" i="5"/>
  <c r="AO56" i="5"/>
  <c r="AN35" i="5"/>
  <c r="AC28" i="6"/>
  <c r="AC27" i="6"/>
  <c r="AO32" i="5"/>
  <c r="AN26" i="5"/>
  <c r="AQ22" i="5"/>
  <c r="AO22" i="5"/>
  <c r="AQ38" i="5"/>
  <c r="AN38" i="5"/>
  <c r="AQ39" i="5"/>
  <c r="AN17" i="5"/>
  <c r="AQ42" i="5"/>
  <c r="AQ41" i="5"/>
  <c r="AO42" i="5"/>
  <c r="AO41" i="5"/>
  <c r="AO44" i="5"/>
  <c r="AN39" i="5"/>
  <c r="AQ26" i="5"/>
  <c r="AQ46" i="5"/>
  <c r="AO46" i="5"/>
  <c r="AN43" i="5"/>
  <c r="AQ32" i="5"/>
  <c r="AO36" i="5"/>
  <c r="AQ43" i="5"/>
  <c r="AQ30" i="5"/>
  <c r="AQ28" i="5"/>
  <c r="AN36" i="5"/>
  <c r="AQ54" i="5"/>
  <c r="AN30" i="5"/>
  <c r="AN28" i="5"/>
  <c r="AN33" i="5"/>
  <c r="AN27" i="5"/>
  <c r="AN54" i="5"/>
  <c r="AO27" i="5"/>
  <c r="AN53" i="5"/>
  <c r="AP13" i="4"/>
  <c r="AQ37" i="5"/>
  <c r="AQ50" i="5"/>
  <c r="AQ44" i="5"/>
  <c r="AO50" i="5"/>
  <c r="AO31" i="5"/>
  <c r="AO48" i="5"/>
  <c r="AQ31" i="5"/>
  <c r="AQ48" i="5"/>
  <c r="AQ53" i="5"/>
  <c r="AO55" i="5"/>
  <c r="AQ55" i="5"/>
  <c r="AO37" i="5"/>
  <c r="AN23" i="5"/>
  <c r="AO23" i="5"/>
  <c r="AQ17" i="5"/>
  <c r="AQ33" i="5"/>
  <c r="AQ47" i="5"/>
  <c r="AO40" i="5"/>
  <c r="AQ40" i="5"/>
  <c r="AQ45" i="5"/>
  <c r="AO47" i="5"/>
  <c r="AO45" i="5"/>
  <c r="AN24" i="5"/>
  <c r="AQ24" i="5"/>
  <c r="AO24" i="5"/>
  <c r="AN51" i="5"/>
  <c r="AQ51" i="5"/>
  <c r="AO51" i="5"/>
  <c r="AN49" i="5"/>
  <c r="AO49" i="5"/>
  <c r="AQ49" i="5"/>
  <c r="AQ19" i="5"/>
  <c r="AN19" i="5"/>
  <c r="AO19" i="5"/>
  <c r="AN20" i="5"/>
  <c r="AQ20" i="5"/>
  <c r="AO20" i="5"/>
  <c r="AN25" i="5"/>
  <c r="AO25" i="5"/>
  <c r="AQ25" i="5"/>
  <c r="AN34" i="5"/>
  <c r="AO34" i="5"/>
  <c r="AQ34" i="5"/>
  <c r="AN21" i="5"/>
  <c r="AO21" i="5"/>
  <c r="AQ21" i="5"/>
  <c r="AN52" i="5"/>
  <c r="AQ52" i="5"/>
  <c r="AO52" i="5"/>
  <c r="AN16" i="5"/>
  <c r="AO16" i="5"/>
  <c r="AQ16" i="5"/>
  <c r="AN29" i="5"/>
  <c r="AO29" i="5"/>
  <c r="AQ29" i="5"/>
  <c r="AO44" i="18"/>
  <c r="AO36" i="18"/>
  <c r="AO28" i="18"/>
  <c r="AO20" i="18"/>
  <c r="AO12" i="18"/>
  <c r="AO31" i="18"/>
  <c r="AO23" i="18"/>
  <c r="AO15" i="18"/>
  <c r="AO7" i="18"/>
  <c r="AO47" i="18"/>
  <c r="AO48" i="18"/>
  <c r="AO40" i="18"/>
  <c r="AO32" i="18"/>
  <c r="AO24" i="18"/>
  <c r="AO16" i="18"/>
  <c r="AO8" i="18"/>
  <c r="AO46" i="18"/>
  <c r="AO38" i="18"/>
  <c r="AO30" i="18"/>
  <c r="AO22" i="18"/>
  <c r="AO14" i="18"/>
  <c r="AO5" i="18"/>
  <c r="AO39" i="18"/>
  <c r="AO45" i="18"/>
  <c r="AO37" i="18"/>
  <c r="AO29" i="18"/>
  <c r="AO21" i="18"/>
  <c r="AO13" i="18"/>
  <c r="AO43" i="18"/>
  <c r="AO35" i="18"/>
  <c r="AO27" i="18"/>
  <c r="AO19" i="18"/>
  <c r="AO11" i="18"/>
  <c r="AO50" i="18"/>
  <c r="AO42" i="18"/>
  <c r="AO34" i="18"/>
  <c r="AO26" i="18"/>
  <c r="AO18" i="18"/>
  <c r="AO10" i="18"/>
  <c r="AO49" i="18"/>
  <c r="AO41" i="18"/>
  <c r="AO33" i="18"/>
  <c r="AO25" i="18"/>
  <c r="AO17" i="18"/>
  <c r="AO9" i="18"/>
  <c r="AL30" i="6"/>
  <c r="AF30" i="6" s="1"/>
  <c r="B30" i="6"/>
  <c r="AL25" i="6"/>
  <c r="AF25" i="6" s="1"/>
  <c r="B25" i="6"/>
  <c r="AL26" i="6"/>
  <c r="AF26" i="6" s="1"/>
  <c r="J26" i="6" s="1"/>
  <c r="B26" i="6"/>
  <c r="AL103" i="6"/>
  <c r="AF103" i="6" s="1"/>
  <c r="J103" i="6" s="1"/>
  <c r="B103" i="6"/>
  <c r="AL90" i="6"/>
  <c r="AF90" i="6" s="1"/>
  <c r="B90" i="6"/>
  <c r="AL86" i="6"/>
  <c r="AF86" i="6" s="1"/>
  <c r="B86" i="6"/>
  <c r="AL46" i="6"/>
  <c r="AF46" i="6" s="1"/>
  <c r="J46" i="6" s="1"/>
  <c r="B46" i="6"/>
  <c r="B37" i="6"/>
  <c r="B28" i="6"/>
  <c r="AL32" i="6"/>
  <c r="AF32" i="6" s="1"/>
  <c r="B32" i="6"/>
  <c r="AL68" i="6"/>
  <c r="AF68" i="6" s="1"/>
  <c r="B68" i="6"/>
  <c r="B93" i="6"/>
  <c r="AL93" i="6"/>
  <c r="AF93" i="6" s="1"/>
  <c r="AL79" i="6"/>
  <c r="AF79" i="6" s="1"/>
  <c r="J79" i="6" s="1"/>
  <c r="B79" i="6"/>
  <c r="AL41" i="6"/>
  <c r="AF41" i="6" s="1"/>
  <c r="J41" i="6" s="1"/>
  <c r="B41" i="6"/>
  <c r="AL28" i="6"/>
  <c r="AF28" i="6" s="1"/>
  <c r="AL23" i="6"/>
  <c r="AF23" i="6" s="1"/>
  <c r="B23" i="6"/>
  <c r="AL33" i="6"/>
  <c r="AF33" i="6" s="1"/>
  <c r="B33" i="6"/>
  <c r="B21" i="6"/>
  <c r="AL18" i="6"/>
  <c r="AF18" i="6" s="1"/>
  <c r="J18" i="6" s="1"/>
  <c r="B18" i="6"/>
  <c r="AL17" i="6"/>
  <c r="AF17" i="6" s="1"/>
  <c r="J17" i="6" s="1"/>
  <c r="B17" i="6"/>
  <c r="AL104" i="6"/>
  <c r="AF104" i="6" s="1"/>
  <c r="B104" i="6"/>
  <c r="AL89" i="6"/>
  <c r="AF89" i="6" s="1"/>
  <c r="B89" i="6"/>
  <c r="AL70" i="6"/>
  <c r="AF70" i="6" s="1"/>
  <c r="B70" i="6"/>
  <c r="AL24" i="6"/>
  <c r="AF24" i="6" s="1"/>
  <c r="B24" i="6"/>
  <c r="AL75" i="6"/>
  <c r="AF75" i="6" s="1"/>
  <c r="J75" i="6" s="1"/>
  <c r="B75" i="6"/>
  <c r="AL94" i="6"/>
  <c r="AF94" i="6" s="1"/>
  <c r="B94" i="6"/>
  <c r="B29" i="6"/>
  <c r="AL29" i="6"/>
  <c r="AF29" i="6" s="1"/>
  <c r="AL99" i="6"/>
  <c r="AF99" i="6" s="1"/>
  <c r="B99" i="6"/>
  <c r="AL82" i="6"/>
  <c r="AF82" i="6" s="1"/>
  <c r="B82" i="6"/>
  <c r="AL107" i="6"/>
  <c r="AF107" i="6" s="1"/>
  <c r="B107" i="6"/>
  <c r="AL27" i="6"/>
  <c r="AF27" i="6" s="1"/>
  <c r="B27" i="6"/>
  <c r="AL22" i="6"/>
  <c r="AF22" i="6" s="1"/>
  <c r="B22" i="6"/>
  <c r="B44" i="6"/>
  <c r="AL96" i="6"/>
  <c r="AF96" i="6" s="1"/>
  <c r="B96" i="6"/>
  <c r="B85" i="6"/>
  <c r="AL81" i="6"/>
  <c r="AF81" i="6" s="1"/>
  <c r="J81" i="6" s="1"/>
  <c r="B81" i="6"/>
  <c r="AL71" i="6"/>
  <c r="AF71" i="6" s="1"/>
  <c r="B71" i="6"/>
  <c r="AL106" i="6"/>
  <c r="AF106" i="6" s="1"/>
  <c r="B106" i="6"/>
  <c r="AL95" i="6"/>
  <c r="AF95" i="6" s="1"/>
  <c r="B95" i="6"/>
  <c r="AL91" i="6"/>
  <c r="AF91" i="6" s="1"/>
  <c r="AL78" i="6"/>
  <c r="AF78" i="6" s="1"/>
  <c r="B78" i="6"/>
  <c r="AL63" i="6"/>
  <c r="AF63" i="6" s="1"/>
  <c r="B63" i="6"/>
  <c r="B84" i="6"/>
  <c r="B100" i="6"/>
  <c r="AL19" i="6"/>
  <c r="AF19" i="6" s="1"/>
  <c r="AL16" i="6"/>
  <c r="AF16" i="6" s="1"/>
  <c r="B16" i="6"/>
  <c r="AL105" i="6"/>
  <c r="AF105" i="6" s="1"/>
  <c r="B105" i="6"/>
  <c r="AL88" i="6"/>
  <c r="AF88" i="6" s="1"/>
  <c r="B88" i="6"/>
  <c r="B77" i="6"/>
  <c r="B69" i="6"/>
  <c r="AL67" i="6"/>
  <c r="AF67" i="6" s="1"/>
  <c r="AL66" i="6"/>
  <c r="AF66" i="6" s="1"/>
  <c r="B66" i="6"/>
  <c r="AL65" i="6"/>
  <c r="AF65" i="6" s="1"/>
  <c r="B65" i="6"/>
  <c r="AL62" i="6"/>
  <c r="AF62" i="6" s="1"/>
  <c r="B62" i="6"/>
  <c r="AL50" i="6"/>
  <c r="AF50" i="6" s="1"/>
  <c r="B50" i="6"/>
  <c r="AL49" i="6"/>
  <c r="AF49" i="6" s="1"/>
  <c r="B49" i="6"/>
  <c r="AL77" i="6"/>
  <c r="AF77" i="6" s="1"/>
  <c r="B91" i="6"/>
  <c r="AL100" i="6"/>
  <c r="AF100" i="6" s="1"/>
  <c r="AL102" i="6"/>
  <c r="AF102" i="6" s="1"/>
  <c r="B102" i="6"/>
  <c r="AL98" i="6"/>
  <c r="AF98" i="6" s="1"/>
  <c r="B98" i="6"/>
  <c r="AL87" i="6"/>
  <c r="AF87" i="6" s="1"/>
  <c r="J87" i="6" s="1"/>
  <c r="B87" i="6"/>
  <c r="AL83" i="6"/>
  <c r="AF83" i="6" s="1"/>
  <c r="AL74" i="6"/>
  <c r="AF74" i="6" s="1"/>
  <c r="B74" i="6"/>
  <c r="AL72" i="6"/>
  <c r="AF72" i="6" s="1"/>
  <c r="B72" i="6"/>
  <c r="B20" i="6"/>
  <c r="B15" i="6"/>
  <c r="B101" i="6"/>
  <c r="AL97" i="6"/>
  <c r="AF97" i="6" s="1"/>
  <c r="B97" i="6"/>
  <c r="AL80" i="6"/>
  <c r="AF80" i="6" s="1"/>
  <c r="B80" i="6"/>
  <c r="AL73" i="6"/>
  <c r="AF73" i="6" s="1"/>
  <c r="B73" i="6"/>
  <c r="B53" i="6"/>
  <c r="AL20" i="6"/>
  <c r="AF20" i="6" s="1"/>
  <c r="B34" i="6"/>
  <c r="AL35" i="6"/>
  <c r="AF35" i="6" s="1"/>
  <c r="B42" i="6"/>
  <c r="AL43" i="6"/>
  <c r="AF43" i="6" s="1"/>
  <c r="AL51" i="6"/>
  <c r="AF51" i="6" s="1"/>
  <c r="J51" i="6" s="1"/>
  <c r="B58" i="6"/>
  <c r="AL59" i="6"/>
  <c r="AF59" i="6" s="1"/>
  <c r="AL34" i="6"/>
  <c r="AF34" i="6" s="1"/>
  <c r="AL42" i="6"/>
  <c r="AF42" i="6" s="1"/>
  <c r="B57" i="6"/>
  <c r="AL58" i="6"/>
  <c r="AF58" i="6" s="1"/>
  <c r="B40" i="6"/>
  <c r="B48" i="6"/>
  <c r="B56" i="6"/>
  <c r="AL57" i="6"/>
  <c r="AF57" i="6" s="1"/>
  <c r="B64" i="6"/>
  <c r="B31" i="6"/>
  <c r="B39" i="6"/>
  <c r="AL40" i="6"/>
  <c r="AF40" i="6" s="1"/>
  <c r="B47" i="6"/>
  <c r="AL48" i="6"/>
  <c r="AF48" i="6" s="1"/>
  <c r="J48" i="6" s="1"/>
  <c r="B55" i="6"/>
  <c r="AL56" i="6"/>
  <c r="AF56" i="6" s="1"/>
  <c r="AL31" i="6"/>
  <c r="AF31" i="6" s="1"/>
  <c r="B38" i="6"/>
  <c r="AL39" i="6"/>
  <c r="AF39" i="6" s="1"/>
  <c r="AL47" i="6"/>
  <c r="AF47" i="6" s="1"/>
  <c r="AL55" i="6"/>
  <c r="AF55" i="6" s="1"/>
  <c r="AL38" i="6"/>
  <c r="AF38" i="6" s="1"/>
  <c r="J38" i="6" s="1"/>
  <c r="AL54" i="6"/>
  <c r="AF54" i="6" s="1"/>
  <c r="I50" i="2"/>
  <c r="H50" i="2"/>
  <c r="G50" i="2"/>
  <c r="F50" i="2"/>
  <c r="E50" i="2"/>
  <c r="D50" i="2"/>
  <c r="C50" i="2"/>
  <c r="B50" i="2"/>
  <c r="I49" i="2"/>
  <c r="H49" i="2"/>
  <c r="G49" i="2"/>
  <c r="F49" i="2"/>
  <c r="E49" i="2"/>
  <c r="D49" i="2"/>
  <c r="C49" i="2"/>
  <c r="B49" i="2"/>
  <c r="I48" i="2"/>
  <c r="H48" i="2"/>
  <c r="G48" i="2"/>
  <c r="F48" i="2"/>
  <c r="E48" i="2"/>
  <c r="D48" i="2"/>
  <c r="C48" i="2"/>
  <c r="B48" i="2"/>
  <c r="I47" i="2"/>
  <c r="H47" i="2"/>
  <c r="G47" i="2"/>
  <c r="F47" i="2"/>
  <c r="E47" i="2"/>
  <c r="D47" i="2"/>
  <c r="C47" i="2"/>
  <c r="B47" i="2"/>
  <c r="I46" i="2"/>
  <c r="H46" i="2"/>
  <c r="G46" i="2"/>
  <c r="F46" i="2"/>
  <c r="E46" i="2"/>
  <c r="D46" i="2"/>
  <c r="C46" i="2"/>
  <c r="B46" i="2"/>
  <c r="I45" i="2"/>
  <c r="H45" i="2"/>
  <c r="G45" i="2"/>
  <c r="F45" i="2"/>
  <c r="E45" i="2"/>
  <c r="D45" i="2"/>
  <c r="C45" i="2"/>
  <c r="B45" i="2"/>
  <c r="I44" i="2"/>
  <c r="H44" i="2"/>
  <c r="G44" i="2"/>
  <c r="F44" i="2"/>
  <c r="E44" i="2"/>
  <c r="D44" i="2"/>
  <c r="C44" i="2"/>
  <c r="B44" i="2"/>
  <c r="I43" i="2"/>
  <c r="H43" i="2"/>
  <c r="G43" i="2"/>
  <c r="F43" i="2"/>
  <c r="E43" i="2"/>
  <c r="D43" i="2"/>
  <c r="C43" i="2"/>
  <c r="B43" i="2"/>
  <c r="I42" i="2"/>
  <c r="H42" i="2"/>
  <c r="G42" i="2"/>
  <c r="F42" i="2"/>
  <c r="E42" i="2"/>
  <c r="D42" i="2"/>
  <c r="C42" i="2"/>
  <c r="B42" i="2"/>
  <c r="I41" i="2"/>
  <c r="H41" i="2"/>
  <c r="G41" i="2"/>
  <c r="F41" i="2"/>
  <c r="E41" i="2"/>
  <c r="D41" i="2"/>
  <c r="C41" i="2"/>
  <c r="B41" i="2"/>
  <c r="I40" i="2"/>
  <c r="H40" i="2"/>
  <c r="G40" i="2"/>
  <c r="F40" i="2"/>
  <c r="E40" i="2"/>
  <c r="D40" i="2"/>
  <c r="C40" i="2"/>
  <c r="B40" i="2"/>
  <c r="I39" i="2"/>
  <c r="H39" i="2"/>
  <c r="G39" i="2"/>
  <c r="F39" i="2"/>
  <c r="E39" i="2"/>
  <c r="D39" i="2"/>
  <c r="C39" i="2"/>
  <c r="B39" i="2"/>
  <c r="I38" i="2"/>
  <c r="H38" i="2"/>
  <c r="G38" i="2"/>
  <c r="F38" i="2"/>
  <c r="E38" i="2"/>
  <c r="D38" i="2"/>
  <c r="C38" i="2"/>
  <c r="B38" i="2"/>
  <c r="I37" i="2"/>
  <c r="H37" i="2"/>
  <c r="G37" i="2"/>
  <c r="F37" i="2"/>
  <c r="E37" i="2"/>
  <c r="D37" i="2"/>
  <c r="C37" i="2"/>
  <c r="B37" i="2"/>
  <c r="I36" i="2"/>
  <c r="H36" i="2"/>
  <c r="G36" i="2"/>
  <c r="F36" i="2"/>
  <c r="E36" i="2"/>
  <c r="D36" i="2"/>
  <c r="C36" i="2"/>
  <c r="B36" i="2"/>
  <c r="I35" i="2"/>
  <c r="H35" i="2"/>
  <c r="G35" i="2"/>
  <c r="F35" i="2"/>
  <c r="E35" i="2"/>
  <c r="D35" i="2"/>
  <c r="C35" i="2"/>
  <c r="B35" i="2"/>
  <c r="I34" i="2"/>
  <c r="H34" i="2"/>
  <c r="G34" i="2"/>
  <c r="F34" i="2"/>
  <c r="E34" i="2"/>
  <c r="D34" i="2"/>
  <c r="C34" i="2"/>
  <c r="B34" i="2"/>
  <c r="I33" i="2"/>
  <c r="H33" i="2"/>
  <c r="G33" i="2"/>
  <c r="F33" i="2"/>
  <c r="E33" i="2"/>
  <c r="D33" i="2"/>
  <c r="C33" i="2"/>
  <c r="B33" i="2"/>
  <c r="I32" i="2"/>
  <c r="H32" i="2"/>
  <c r="G32" i="2"/>
  <c r="F32" i="2"/>
  <c r="E32" i="2"/>
  <c r="D32" i="2"/>
  <c r="C32" i="2"/>
  <c r="B32" i="2"/>
  <c r="I31" i="2"/>
  <c r="H31" i="2"/>
  <c r="G31" i="2"/>
  <c r="F31" i="2"/>
  <c r="E31" i="2"/>
  <c r="D31" i="2"/>
  <c r="C31" i="2"/>
  <c r="B31" i="2"/>
  <c r="I30" i="2"/>
  <c r="H30" i="2"/>
  <c r="G30" i="2"/>
  <c r="F30" i="2"/>
  <c r="E30" i="2"/>
  <c r="D30" i="2"/>
  <c r="C30" i="2"/>
  <c r="B30" i="2"/>
  <c r="I29" i="2"/>
  <c r="H29" i="2"/>
  <c r="G29" i="2"/>
  <c r="F29" i="2"/>
  <c r="E29" i="2"/>
  <c r="D29" i="2"/>
  <c r="C29" i="2"/>
  <c r="B29" i="2"/>
  <c r="I28" i="2"/>
  <c r="H28" i="2"/>
  <c r="G28" i="2"/>
  <c r="F28" i="2"/>
  <c r="E28" i="2"/>
  <c r="D28" i="2"/>
  <c r="C28" i="2"/>
  <c r="B28" i="2"/>
  <c r="I27" i="2"/>
  <c r="H27" i="2"/>
  <c r="G27" i="2"/>
  <c r="F27" i="2"/>
  <c r="E27" i="2"/>
  <c r="D27" i="2"/>
  <c r="C27" i="2"/>
  <c r="B27" i="2"/>
  <c r="I26" i="2"/>
  <c r="H26" i="2"/>
  <c r="G26" i="2"/>
  <c r="F26" i="2"/>
  <c r="E26" i="2"/>
  <c r="D26" i="2"/>
  <c r="C26" i="2"/>
  <c r="B26" i="2"/>
  <c r="I25" i="2"/>
  <c r="H25" i="2"/>
  <c r="G25" i="2"/>
  <c r="F25" i="2"/>
  <c r="E25" i="2"/>
  <c r="D25" i="2"/>
  <c r="C25" i="2"/>
  <c r="B25" i="2"/>
  <c r="I24" i="2"/>
  <c r="H24" i="2"/>
  <c r="G24" i="2"/>
  <c r="F24" i="2"/>
  <c r="E24" i="2"/>
  <c r="D24" i="2"/>
  <c r="C24" i="2"/>
  <c r="B24" i="2"/>
  <c r="I23" i="2"/>
  <c r="H23" i="2"/>
  <c r="G23" i="2"/>
  <c r="F23" i="2"/>
  <c r="E23" i="2"/>
  <c r="D23" i="2"/>
  <c r="C23" i="2"/>
  <c r="B23" i="2"/>
  <c r="I22" i="2"/>
  <c r="H22" i="2"/>
  <c r="G22" i="2"/>
  <c r="F22" i="2"/>
  <c r="E22" i="2"/>
  <c r="D22" i="2"/>
  <c r="C22" i="2"/>
  <c r="B22" i="2"/>
  <c r="I21" i="2"/>
  <c r="H21" i="2"/>
  <c r="G21" i="2"/>
  <c r="F21" i="2"/>
  <c r="E21" i="2"/>
  <c r="D21" i="2"/>
  <c r="C21" i="2"/>
  <c r="B21" i="2"/>
  <c r="I20" i="2"/>
  <c r="H20" i="2"/>
  <c r="G20" i="2"/>
  <c r="F20" i="2"/>
  <c r="E20" i="2"/>
  <c r="D20" i="2"/>
  <c r="C20" i="2"/>
  <c r="B20" i="2"/>
  <c r="I19" i="2"/>
  <c r="H19" i="2"/>
  <c r="G19" i="2"/>
  <c r="F19" i="2"/>
  <c r="E19" i="2"/>
  <c r="D19" i="2"/>
  <c r="C19" i="2"/>
  <c r="B19" i="2"/>
  <c r="I18" i="2"/>
  <c r="H18" i="2"/>
  <c r="G18" i="2"/>
  <c r="F18" i="2"/>
  <c r="E18" i="2"/>
  <c r="D18" i="2"/>
  <c r="C18" i="2"/>
  <c r="B18" i="2"/>
  <c r="I17" i="2"/>
  <c r="H17" i="2"/>
  <c r="G17" i="2"/>
  <c r="F17" i="2"/>
  <c r="E17" i="2"/>
  <c r="D17" i="2"/>
  <c r="C17" i="2"/>
  <c r="B17" i="2"/>
  <c r="I16" i="2"/>
  <c r="H16" i="2"/>
  <c r="G16" i="2"/>
  <c r="F16" i="2"/>
  <c r="E16" i="2"/>
  <c r="D16" i="2"/>
  <c r="C16" i="2"/>
  <c r="B16" i="2"/>
  <c r="I15" i="2"/>
  <c r="H15" i="2"/>
  <c r="G15" i="2"/>
  <c r="F15" i="2"/>
  <c r="E15" i="2"/>
  <c r="D15" i="2"/>
  <c r="C15" i="2"/>
  <c r="B15" i="2"/>
  <c r="I14" i="2"/>
  <c r="H14" i="2"/>
  <c r="G14" i="2"/>
  <c r="F14" i="2"/>
  <c r="E14" i="2"/>
  <c r="D14" i="2"/>
  <c r="C14" i="2"/>
  <c r="B14" i="2"/>
  <c r="I13" i="2"/>
  <c r="H13" i="2"/>
  <c r="G13" i="2"/>
  <c r="F13" i="2"/>
  <c r="E13" i="2"/>
  <c r="D13" i="2"/>
  <c r="C13" i="2"/>
  <c r="B13" i="2"/>
  <c r="I12" i="2"/>
  <c r="H12" i="2"/>
  <c r="G12" i="2"/>
  <c r="F12" i="2"/>
  <c r="E12" i="2"/>
  <c r="D12" i="2"/>
  <c r="C12" i="2"/>
  <c r="B12" i="2"/>
  <c r="I11" i="2"/>
  <c r="H11" i="2"/>
  <c r="G11" i="2"/>
  <c r="F11" i="2"/>
  <c r="E11" i="2"/>
  <c r="D11" i="2"/>
  <c r="C11" i="2"/>
  <c r="B11" i="2"/>
  <c r="I10" i="2"/>
  <c r="H10" i="2"/>
  <c r="G10" i="2"/>
  <c r="F10" i="2"/>
  <c r="E10" i="2"/>
  <c r="D10" i="2"/>
  <c r="C10" i="2"/>
  <c r="B10" i="2"/>
  <c r="I9" i="2"/>
  <c r="H9" i="2"/>
  <c r="G9" i="2"/>
  <c r="F9" i="2"/>
  <c r="E9" i="2"/>
  <c r="D9" i="2"/>
  <c r="C9" i="2"/>
  <c r="B9" i="2"/>
  <c r="I8" i="2"/>
  <c r="H8" i="2"/>
  <c r="G8" i="2"/>
  <c r="F8" i="2"/>
  <c r="E8" i="2"/>
  <c r="D8" i="2"/>
  <c r="C8" i="2"/>
  <c r="B8" i="2"/>
  <c r="I6" i="2"/>
  <c r="H6" i="2"/>
  <c r="G6" i="2"/>
  <c r="F6" i="2"/>
  <c r="E6" i="2"/>
  <c r="D6" i="2"/>
  <c r="C6" i="2"/>
  <c r="B6" i="2"/>
  <c r="C5" i="2"/>
  <c r="B5" i="2"/>
  <c r="L50" i="18"/>
  <c r="H50" i="18" s="1"/>
  <c r="K50" i="18" s="1"/>
  <c r="AE49" i="18"/>
  <c r="AE48" i="18"/>
  <c r="AE47" i="18"/>
  <c r="AE46" i="18"/>
  <c r="AE45" i="18"/>
  <c r="AE44" i="18"/>
  <c r="AE43" i="18"/>
  <c r="AE42" i="18"/>
  <c r="AE41" i="18"/>
  <c r="AE40" i="18"/>
  <c r="AE39" i="18"/>
  <c r="AE38" i="18"/>
  <c r="AE37" i="18"/>
  <c r="AE36" i="18"/>
  <c r="AE35" i="18"/>
  <c r="AE34" i="18"/>
  <c r="AE33" i="18"/>
  <c r="AE32" i="18"/>
  <c r="AE31" i="18"/>
  <c r="AE30" i="18"/>
  <c r="AE29" i="18"/>
  <c r="AE28" i="18"/>
  <c r="AE27" i="18"/>
  <c r="AE26" i="18"/>
  <c r="AE25" i="18"/>
  <c r="AE24" i="18"/>
  <c r="AE23" i="18"/>
  <c r="AE22" i="18"/>
  <c r="AE21" i="18"/>
  <c r="AE20" i="18"/>
  <c r="AE19" i="18"/>
  <c r="AE18" i="18"/>
  <c r="AE17" i="18"/>
  <c r="AE16" i="18"/>
  <c r="AE15" i="18"/>
  <c r="AE14" i="18"/>
  <c r="AE13" i="18"/>
  <c r="AE12" i="18"/>
  <c r="AE11" i="18"/>
  <c r="AE10" i="18"/>
  <c r="AE9" i="18"/>
  <c r="AE8" i="18"/>
  <c r="AE7" i="18"/>
  <c r="AE5" i="18"/>
  <c r="AE4" i="18"/>
  <c r="U49" i="18"/>
  <c r="L49" i="18" s="1"/>
  <c r="U48" i="18"/>
  <c r="L48" i="18" s="1"/>
  <c r="U47" i="18"/>
  <c r="L47" i="18" s="1"/>
  <c r="U46" i="18"/>
  <c r="L46" i="18" s="1"/>
  <c r="U45" i="18"/>
  <c r="L45" i="18" s="1"/>
  <c r="U44" i="18"/>
  <c r="L44" i="18" s="1"/>
  <c r="U43" i="18"/>
  <c r="L43" i="18" s="1"/>
  <c r="U42" i="18"/>
  <c r="L42" i="18" s="1"/>
  <c r="U41" i="18"/>
  <c r="L41" i="18" s="1"/>
  <c r="U40" i="18"/>
  <c r="L40" i="18" s="1"/>
  <c r="U39" i="18"/>
  <c r="L39" i="18" s="1"/>
  <c r="U38" i="18"/>
  <c r="L38" i="18" s="1"/>
  <c r="U37" i="18"/>
  <c r="L37" i="18" s="1"/>
  <c r="U36" i="18"/>
  <c r="L36" i="18" s="1"/>
  <c r="U35" i="18"/>
  <c r="L35" i="18" s="1"/>
  <c r="U34" i="18"/>
  <c r="L34" i="18" s="1"/>
  <c r="U33" i="18"/>
  <c r="L33" i="18" s="1"/>
  <c r="U32" i="18"/>
  <c r="L32" i="18" s="1"/>
  <c r="U31" i="18"/>
  <c r="L31" i="18" s="1"/>
  <c r="U30" i="18"/>
  <c r="L30" i="18" s="1"/>
  <c r="U29" i="18"/>
  <c r="L29" i="18" s="1"/>
  <c r="U28" i="18"/>
  <c r="L28" i="18" s="1"/>
  <c r="U27" i="18"/>
  <c r="L27" i="18" s="1"/>
  <c r="U26" i="18"/>
  <c r="L26" i="18" s="1"/>
  <c r="U25" i="18"/>
  <c r="L25" i="18" s="1"/>
  <c r="U24" i="18"/>
  <c r="L24" i="18" s="1"/>
  <c r="U23" i="18"/>
  <c r="L23" i="18" s="1"/>
  <c r="U22" i="18"/>
  <c r="L22" i="18" s="1"/>
  <c r="U21" i="18"/>
  <c r="L21" i="18" s="1"/>
  <c r="U20" i="18"/>
  <c r="L20" i="18" s="1"/>
  <c r="U19" i="18"/>
  <c r="L19" i="18" s="1"/>
  <c r="U18" i="18"/>
  <c r="L18" i="18" s="1"/>
  <c r="U17" i="18"/>
  <c r="L17" i="18" s="1"/>
  <c r="U16" i="18"/>
  <c r="L16" i="18" s="1"/>
  <c r="U15" i="18"/>
  <c r="L15" i="18" s="1"/>
  <c r="U14" i="18"/>
  <c r="L14" i="18" s="1"/>
  <c r="U13" i="18"/>
  <c r="L13" i="18" s="1"/>
  <c r="U12" i="18"/>
  <c r="L12" i="18" s="1"/>
  <c r="U11" i="18"/>
  <c r="L11" i="18" s="1"/>
  <c r="U10" i="18"/>
  <c r="L10" i="18" s="1"/>
  <c r="U9" i="18"/>
  <c r="L9" i="18" s="1"/>
  <c r="U8" i="18"/>
  <c r="L8" i="18" s="1"/>
  <c r="U7" i="18"/>
  <c r="L7" i="18" s="1"/>
  <c r="H7" i="18" s="1"/>
  <c r="U5" i="18"/>
  <c r="L5" i="18" s="1"/>
  <c r="H5" i="18" s="1"/>
  <c r="T4" i="18"/>
  <c r="U4" i="18"/>
  <c r="BE6" i="18" a="1"/>
  <c r="AY4" i="18" a="1"/>
  <c r="AW6" i="18" a="1"/>
  <c r="AV4" i="18" a="1"/>
  <c r="AU4" i="18" a="1"/>
  <c r="AS4" i="18" a="1"/>
  <c r="AP4" i="18" a="1"/>
  <c r="BB6" i="18" a="1"/>
  <c r="AX6" i="18" a="1"/>
  <c r="BA6" i="18" a="1"/>
  <c r="BF4" i="18" a="1"/>
  <c r="AV6" i="18" a="1"/>
  <c r="AS6" i="18" a="1"/>
  <c r="AR4" i="18" a="1"/>
  <c r="AT4" i="18" a="1"/>
  <c r="BD4" i="18" a="1"/>
  <c r="AQ6" i="18" a="1"/>
  <c r="AP6" i="18" a="1"/>
  <c r="AU6" i="18" a="1"/>
  <c r="BF6" i="18" a="1"/>
  <c r="AZ4" i="18" a="1"/>
  <c r="AZ6" i="18" a="1"/>
  <c r="BB4" i="18" a="1"/>
  <c r="BA4" i="18" a="1"/>
  <c r="BE4" i="18" a="1"/>
  <c r="BG6" i="18" a="1"/>
  <c r="AX4" i="18" a="1"/>
  <c r="AT6" i="18" a="1"/>
  <c r="BH6" i="18" a="1"/>
  <c r="BD6" i="18" a="1"/>
  <c r="AR6" i="18" a="1"/>
  <c r="BC6" i="18" a="1"/>
  <c r="BH4" i="18" a="1"/>
  <c r="BC4" i="18" a="1"/>
  <c r="AY6" i="18" a="1"/>
  <c r="AW4" i="18" a="1"/>
  <c r="BG4" i="18" a="1"/>
  <c r="AQ4" i="18" a="1"/>
  <c r="J39" i="6" l="1"/>
  <c r="J104" i="6"/>
  <c r="J47" i="6"/>
  <c r="J107" i="6"/>
  <c r="J42" i="6"/>
  <c r="J82" i="6"/>
  <c r="J31" i="6"/>
  <c r="J98" i="6"/>
  <c r="J86" i="6"/>
  <c r="J58" i="6"/>
  <c r="J80" i="6"/>
  <c r="J71" i="6"/>
  <c r="J28" i="6"/>
  <c r="J70" i="6"/>
  <c r="J96" i="6"/>
  <c r="J33" i="6"/>
  <c r="J105" i="6"/>
  <c r="J24" i="6"/>
  <c r="J57" i="6"/>
  <c r="J22" i="6"/>
  <c r="J25" i="6"/>
  <c r="J97" i="6"/>
  <c r="J88" i="6"/>
  <c r="J68" i="6"/>
  <c r="J106" i="6"/>
  <c r="J43" i="6"/>
  <c r="J102" i="6"/>
  <c r="J56" i="6"/>
  <c r="J50" i="6"/>
  <c r="J19" i="6"/>
  <c r="J32" i="6"/>
  <c r="J34" i="6"/>
  <c r="J49" i="6"/>
  <c r="J66" i="6"/>
  <c r="J78" i="6"/>
  <c r="J77" i="6"/>
  <c r="J55" i="6"/>
  <c r="J95" i="6"/>
  <c r="J89" i="6"/>
  <c r="J91" i="6"/>
  <c r="J90" i="6"/>
  <c r="J73" i="6"/>
  <c r="J67" i="6"/>
  <c r="J27" i="6"/>
  <c r="J100" i="6"/>
  <c r="J93" i="6"/>
  <c r="J99" i="6"/>
  <c r="J29" i="6"/>
  <c r="J30" i="6"/>
  <c r="J59" i="6"/>
  <c r="J16" i="6"/>
  <c r="J72" i="6"/>
  <c r="J40" i="6"/>
  <c r="J94" i="6"/>
  <c r="J35" i="6"/>
  <c r="J74" i="6"/>
  <c r="J62" i="6"/>
  <c r="J83" i="6"/>
  <c r="J20" i="6"/>
  <c r="J65" i="6"/>
  <c r="J63" i="6"/>
  <c r="J23" i="6"/>
  <c r="J54" i="6"/>
  <c r="K5" i="18"/>
  <c r="A6" i="2" s="1"/>
  <c r="H6" i="18"/>
  <c r="AP6" i="18"/>
  <c r="AZ6" i="18"/>
  <c r="BG6" i="18"/>
  <c r="AX6" i="18"/>
  <c r="AS6" i="18"/>
  <c r="AV6" i="18"/>
  <c r="BB6" i="18"/>
  <c r="BH6" i="18"/>
  <c r="BF6" i="18"/>
  <c r="BA6" i="18"/>
  <c r="BE6" i="18"/>
  <c r="AQ6" i="18"/>
  <c r="BD6" i="18"/>
  <c r="AR6" i="18"/>
  <c r="AW6" i="18"/>
  <c r="AY6" i="18"/>
  <c r="AT6" i="18"/>
  <c r="BC6" i="18"/>
  <c r="AU6" i="18"/>
  <c r="AV4" i="18"/>
  <c r="AW4" i="18"/>
  <c r="AP4" i="18"/>
  <c r="BC4" i="18"/>
  <c r="BA4" i="18"/>
  <c r="AY4" i="18"/>
  <c r="BH4" i="18"/>
  <c r="AR4" i="18"/>
  <c r="BD4" i="18"/>
  <c r="BF4" i="18"/>
  <c r="BB4" i="18"/>
  <c r="BG4" i="18"/>
  <c r="BE4" i="18"/>
  <c r="AS4" i="18"/>
  <c r="AZ4" i="18"/>
  <c r="AX4" i="18"/>
  <c r="AQ4" i="18"/>
  <c r="AU4" i="18"/>
  <c r="AT4" i="18"/>
  <c r="AN6" i="18"/>
  <c r="AN4" i="18"/>
  <c r="AP14" i="4"/>
  <c r="H27" i="6"/>
  <c r="H28" i="6"/>
  <c r="AN15" i="18"/>
  <c r="AN23" i="18"/>
  <c r="AN31" i="18"/>
  <c r="AN12" i="18"/>
  <c r="AN20" i="18"/>
  <c r="AN28" i="18"/>
  <c r="AN7" i="18"/>
  <c r="AN11" i="18"/>
  <c r="AN8" i="18"/>
  <c r="AN10" i="18"/>
  <c r="AN27" i="18"/>
  <c r="AN16" i="18"/>
  <c r="AN18" i="18"/>
  <c r="AN5" i="18"/>
  <c r="AN24" i="18"/>
  <c r="AN19" i="18"/>
  <c r="AN9" i="18"/>
  <c r="AN26" i="18"/>
  <c r="AN14" i="18"/>
  <c r="AN32" i="18"/>
  <c r="AN17" i="18"/>
  <c r="AN13" i="18"/>
  <c r="AN22" i="18"/>
  <c r="AN25" i="18"/>
  <c r="AN21" i="18"/>
  <c r="AN30" i="18"/>
  <c r="AN33" i="18"/>
  <c r="AN29" i="18"/>
  <c r="A5" i="2"/>
  <c r="T5" i="18"/>
  <c r="K6" i="18" l="1"/>
  <c r="T6" i="18"/>
  <c r="H8" i="18"/>
  <c r="K7" i="18"/>
  <c r="A8" i="2" s="1"/>
  <c r="AP15" i="4"/>
  <c r="T7" i="18"/>
  <c r="H9" i="18" l="1"/>
  <c r="K8" i="18"/>
  <c r="A9" i="2" s="1"/>
  <c r="AP16" i="4"/>
  <c r="T8" i="18"/>
  <c r="K2" i="3"/>
  <c r="H10" i="18" l="1"/>
  <c r="K9" i="18"/>
  <c r="A10" i="2" s="1"/>
  <c r="AP17" i="4"/>
  <c r="T9" i="18"/>
  <c r="H11" i="18" l="1"/>
  <c r="K10" i="18"/>
  <c r="A11" i="2" s="1"/>
  <c r="AP18" i="4"/>
  <c r="T10" i="18"/>
  <c r="H12" i="18" l="1"/>
  <c r="K11" i="18"/>
  <c r="A12" i="2" s="1"/>
  <c r="AP19" i="4"/>
  <c r="T11" i="18"/>
  <c r="H13" i="18" l="1"/>
  <c r="K12" i="18"/>
  <c r="A13" i="2" s="1"/>
  <c r="AP20" i="4"/>
  <c r="T12" i="18"/>
  <c r="M8" i="6"/>
  <c r="AY8" i="6" s="1"/>
  <c r="A4" i="4"/>
  <c r="H14" i="18" l="1"/>
  <c r="K13" i="18"/>
  <c r="A14" i="2" s="1"/>
  <c r="AP21" i="4"/>
  <c r="AP22" i="4" s="1"/>
  <c r="AP23" i="4" s="1"/>
  <c r="AP24" i="4" s="1"/>
  <c r="AP25" i="4" s="1"/>
  <c r="AP26" i="4" s="1"/>
  <c r="AP27" i="4" s="1"/>
  <c r="AP28" i="4" s="1"/>
  <c r="AP29" i="4" s="1"/>
  <c r="AP30" i="4" s="1"/>
  <c r="AP31" i="4" s="1"/>
  <c r="AP32" i="4" s="1"/>
  <c r="AP33" i="4" s="1"/>
  <c r="AP34" i="4" s="1"/>
  <c r="AP35" i="4" s="1"/>
  <c r="AP36" i="4" s="1"/>
  <c r="AP37" i="4" s="1"/>
  <c r="AP38" i="4" s="1"/>
  <c r="AP39" i="4" s="1"/>
  <c r="AP40" i="4" s="1"/>
  <c r="AP41" i="4" s="1"/>
  <c r="AP42" i="4" s="1"/>
  <c r="AP43" i="4" s="1"/>
  <c r="AP44" i="4" s="1"/>
  <c r="AP45" i="4" s="1"/>
  <c r="AP46" i="4" s="1"/>
  <c r="AP47" i="4" s="1"/>
  <c r="AP48" i="4" s="1"/>
  <c r="AP49" i="4" s="1"/>
  <c r="AP50" i="4" s="1"/>
  <c r="AP51" i="4" s="1"/>
  <c r="AP52" i="4" s="1"/>
  <c r="AP53" i="4" s="1"/>
  <c r="AP54" i="4" s="1"/>
  <c r="AP55" i="4" s="1"/>
  <c r="AP56" i="4" s="1"/>
  <c r="AP57" i="4" s="1"/>
  <c r="AT15" i="4" s="1"/>
  <c r="AS15" i="4" s="1"/>
  <c r="T13" i="18"/>
  <c r="H15" i="18" l="1"/>
  <c r="K14" i="18"/>
  <c r="A15" i="2" s="1"/>
  <c r="AT30" i="4"/>
  <c r="AS30" i="4" s="1"/>
  <c r="AT27" i="4"/>
  <c r="AR27" i="4" s="1"/>
  <c r="AT39" i="4"/>
  <c r="AR39" i="4" s="1"/>
  <c r="AT17" i="4"/>
  <c r="AS17" i="4" s="1"/>
  <c r="AT38" i="4"/>
  <c r="AS38" i="4" s="1"/>
  <c r="AT23" i="4"/>
  <c r="AR23" i="4" s="1"/>
  <c r="AT14" i="4"/>
  <c r="AS14" i="4" s="1"/>
  <c r="AT55" i="4"/>
  <c r="AS55" i="4" s="1"/>
  <c r="AT56" i="4"/>
  <c r="AR56" i="4" s="1"/>
  <c r="AT20" i="4"/>
  <c r="AS20" i="4" s="1"/>
  <c r="AT26" i="4"/>
  <c r="AR26" i="4" s="1"/>
  <c r="AT36" i="4"/>
  <c r="AR36" i="4" s="1"/>
  <c r="AT53" i="4"/>
  <c r="AU53" i="4" s="1"/>
  <c r="AT32" i="4"/>
  <c r="AU32" i="4" s="1"/>
  <c r="AT37" i="4"/>
  <c r="AR37" i="4" s="1"/>
  <c r="AT40" i="4"/>
  <c r="AR40" i="4" s="1"/>
  <c r="AT25" i="4"/>
  <c r="AR25" i="4" s="1"/>
  <c r="AT24" i="4"/>
  <c r="AU24" i="4" s="1"/>
  <c r="AT51" i="4"/>
  <c r="AR51" i="4" s="1"/>
  <c r="AT18" i="4"/>
  <c r="AS18" i="4" s="1"/>
  <c r="AT34" i="4"/>
  <c r="AS34" i="4" s="1"/>
  <c r="AT44" i="4"/>
  <c r="AR44" i="4" s="1"/>
  <c r="AT57" i="4"/>
  <c r="AU57" i="4" s="1"/>
  <c r="AT33" i="4"/>
  <c r="AU33" i="4" s="1"/>
  <c r="AT49" i="4"/>
  <c r="AR49" i="4" s="1"/>
  <c r="AT52" i="4"/>
  <c r="AS52" i="4" s="1"/>
  <c r="AT31" i="4"/>
  <c r="AS31" i="4" s="1"/>
  <c r="AT54" i="4"/>
  <c r="AU54" i="4" s="1"/>
  <c r="AT50" i="4"/>
  <c r="AR50" i="4" s="1"/>
  <c r="AT19" i="4"/>
  <c r="AS19" i="4" s="1"/>
  <c r="AT9" i="4"/>
  <c r="AS9" i="4" s="1"/>
  <c r="AT12" i="4"/>
  <c r="AS12" i="4" s="1"/>
  <c r="AT10" i="4"/>
  <c r="AS10" i="4" s="1"/>
  <c r="AT11" i="4"/>
  <c r="AS11" i="4" s="1"/>
  <c r="AT13" i="4"/>
  <c r="AS13" i="4" s="1"/>
  <c r="AT22" i="4"/>
  <c r="AS22" i="4" s="1"/>
  <c r="AT35" i="4"/>
  <c r="AU35" i="4" s="1"/>
  <c r="AT48" i="4"/>
  <c r="AR48" i="4" s="1"/>
  <c r="AT29" i="4"/>
  <c r="AR29" i="4" s="1"/>
  <c r="AT28" i="4"/>
  <c r="AS28" i="4" s="1"/>
  <c r="AT42" i="4"/>
  <c r="AU42" i="4" s="1"/>
  <c r="AT47" i="4"/>
  <c r="AU47" i="4" s="1"/>
  <c r="AT46" i="4"/>
  <c r="AR46" i="4" s="1"/>
  <c r="AT43" i="4"/>
  <c r="AR43" i="4" s="1"/>
  <c r="AT21" i="4"/>
  <c r="AS21" i="4" s="1"/>
  <c r="AT45" i="4"/>
  <c r="AR45" i="4" s="1"/>
  <c r="AT41" i="4"/>
  <c r="AS41" i="4" s="1"/>
  <c r="AT16" i="4"/>
  <c r="AS16" i="4" s="1"/>
  <c r="T14" i="18"/>
  <c r="AY2" i="3"/>
  <c r="AU2" i="3"/>
  <c r="AQ2" i="3"/>
  <c r="AX2" i="3"/>
  <c r="AT2" i="3"/>
  <c r="AP2" i="3"/>
  <c r="AW2" i="3"/>
  <c r="AS2" i="3"/>
  <c r="AO2" i="3"/>
  <c r="AV2" i="3"/>
  <c r="AR2" i="3"/>
  <c r="AN2" i="3"/>
  <c r="AM2" i="3"/>
  <c r="AL2" i="3"/>
  <c r="AK2" i="3"/>
  <c r="AJ2" i="3"/>
  <c r="O2" i="3"/>
  <c r="P2" i="3"/>
  <c r="AI2" i="3"/>
  <c r="AH2" i="3"/>
  <c r="AG2" i="3"/>
  <c r="AF2" i="3"/>
  <c r="AE2" i="3"/>
  <c r="AD2" i="3"/>
  <c r="AC2" i="3"/>
  <c r="AB2" i="3"/>
  <c r="AA2" i="3"/>
  <c r="AS51" i="4" l="1"/>
  <c r="AS24" i="4"/>
  <c r="AU51" i="4"/>
  <c r="AS25" i="4"/>
  <c r="AR30" i="4"/>
  <c r="AU56" i="4"/>
  <c r="AS56" i="4"/>
  <c r="AR38" i="4"/>
  <c r="AS27" i="4"/>
  <c r="AU27" i="4"/>
  <c r="AU23" i="4"/>
  <c r="AS39" i="4"/>
  <c r="AU39" i="4"/>
  <c r="AU26" i="4"/>
  <c r="AU46" i="4"/>
  <c r="AU36" i="4"/>
  <c r="AS26" i="4"/>
  <c r="AR31" i="4"/>
  <c r="AS36" i="4"/>
  <c r="AU31" i="4"/>
  <c r="H16" i="18"/>
  <c r="K15" i="18"/>
  <c r="A16" i="2" s="1"/>
  <c r="AS32" i="4"/>
  <c r="AR32" i="4"/>
  <c r="AS42" i="4"/>
  <c r="AS23" i="4"/>
  <c r="AS46" i="4"/>
  <c r="AS54" i="4"/>
  <c r="AU43" i="4"/>
  <c r="AR54" i="4"/>
  <c r="AU37" i="4"/>
  <c r="AS33" i="4"/>
  <c r="AR42" i="4"/>
  <c r="AS57" i="4"/>
  <c r="AR55" i="4"/>
  <c r="AU41" i="4"/>
  <c r="AR28" i="4"/>
  <c r="AU34" i="4"/>
  <c r="AS53" i="4"/>
  <c r="AU38" i="4"/>
  <c r="AS43" i="4"/>
  <c r="AU29" i="4"/>
  <c r="AS50" i="4"/>
  <c r="AR34" i="4"/>
  <c r="AR53" i="4"/>
  <c r="AR24" i="4"/>
  <c r="AU52" i="4"/>
  <c r="AU25" i="4"/>
  <c r="AR52" i="4"/>
  <c r="AS47" i="4"/>
  <c r="AS29" i="4"/>
  <c r="AU50" i="4"/>
  <c r="AS49" i="4"/>
  <c r="AR57" i="4"/>
  <c r="AR47" i="4"/>
  <c r="AU49" i="4"/>
  <c r="AU30" i="4"/>
  <c r="AS37" i="4"/>
  <c r="AR41" i="4"/>
  <c r="AU48" i="4"/>
  <c r="AU40" i="4"/>
  <c r="AU45" i="4"/>
  <c r="AS48" i="4"/>
  <c r="AU44" i="4"/>
  <c r="AS40" i="4"/>
  <c r="AS35" i="4"/>
  <c r="AR33" i="4"/>
  <c r="AS45" i="4"/>
  <c r="AU28" i="4"/>
  <c r="AS44" i="4"/>
  <c r="AR35" i="4"/>
  <c r="AU55" i="4"/>
  <c r="T15" i="18"/>
  <c r="V6" i="3"/>
  <c r="X6" i="3"/>
  <c r="W6" i="3"/>
  <c r="U6" i="3"/>
  <c r="H17" i="18" l="1"/>
  <c r="K16" i="18"/>
  <c r="A17" i="2" s="1"/>
  <c r="T16" i="18"/>
  <c r="Z4" i="14"/>
  <c r="Y4" i="14"/>
  <c r="X4" i="14"/>
  <c r="T4" i="14"/>
  <c r="U4" i="14"/>
  <c r="V4" i="14"/>
  <c r="W4" i="14"/>
  <c r="S4" i="14"/>
  <c r="Q6" i="14"/>
  <c r="Q7" i="14"/>
  <c r="Q8" i="14"/>
  <c r="Q9" i="14"/>
  <c r="Q10" i="14"/>
  <c r="Q11"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Q43" i="14"/>
  <c r="Q44" i="14"/>
  <c r="Q45" i="14"/>
  <c r="Q46" i="14"/>
  <c r="Q47" i="14"/>
  <c r="Q48" i="14"/>
  <c r="Q49" i="14"/>
  <c r="Q50" i="14"/>
  <c r="Q51" i="14"/>
  <c r="Q52" i="14"/>
  <c r="Q53" i="14"/>
  <c r="Q54" i="14"/>
  <c r="Q5" i="14"/>
  <c r="H18" i="18" l="1"/>
  <c r="K17" i="18"/>
  <c r="A18" i="2" s="1"/>
  <c r="T17" i="18"/>
  <c r="H19" i="18" l="1"/>
  <c r="K18" i="18"/>
  <c r="A19" i="2" s="1"/>
  <c r="T18" i="18"/>
  <c r="K201" i="14"/>
  <c r="K200" i="14"/>
  <c r="K199" i="14"/>
  <c r="K198" i="14"/>
  <c r="I196" i="14"/>
  <c r="G196" i="14"/>
  <c r="F196" i="14"/>
  <c r="I195" i="14"/>
  <c r="G195" i="14"/>
  <c r="F195" i="14"/>
  <c r="K161" i="14"/>
  <c r="K160" i="14"/>
  <c r="K159" i="14"/>
  <c r="K158" i="14"/>
  <c r="I156" i="14"/>
  <c r="G156" i="14"/>
  <c r="F156" i="14"/>
  <c r="I155" i="14"/>
  <c r="G155" i="14"/>
  <c r="F155" i="14"/>
  <c r="BA2" i="3"/>
  <c r="AZ2" i="3"/>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AR48" i="18" a="1"/>
  <c r="AX23" i="18" a="1"/>
  <c r="BB34" i="18" a="1"/>
  <c r="BA14" i="18" a="1"/>
  <c r="AY8" i="18" a="1"/>
  <c r="AP15" i="18" a="1"/>
  <c r="BC38" i="18" a="1"/>
  <c r="AP29" i="18" a="1"/>
  <c r="AR23" i="18" a="1"/>
  <c r="R26" i="14" a="1"/>
  <c r="R46" i="14" a="1"/>
  <c r="AX35" i="18" a="1"/>
  <c r="BE29" i="18" a="1"/>
  <c r="BG16" i="18" a="1"/>
  <c r="BH27" i="18" a="1"/>
  <c r="BF8" i="18" a="1"/>
  <c r="AX19" i="18" a="1"/>
  <c r="AV17" i="18" a="1"/>
  <c r="AT33" i="18" a="1"/>
  <c r="AZ42" i="18" a="1"/>
  <c r="BF43" i="18" a="1"/>
  <c r="AU8" i="18" a="1"/>
  <c r="AS33" i="18" a="1"/>
  <c r="BD34" i="18" a="1"/>
  <c r="BD15" i="18" a="1"/>
  <c r="AZ14" i="18" a="1"/>
  <c r="BG13" i="18" a="1"/>
  <c r="AX41" i="18" a="1"/>
  <c r="AU39" i="18" a="1"/>
  <c r="R23" i="14" a="1"/>
  <c r="BC27" i="18" a="1"/>
  <c r="R13" i="14" a="1"/>
  <c r="R9" i="14" a="1"/>
  <c r="BA30" i="18" a="1"/>
  <c r="BB47" i="18" a="1"/>
  <c r="BC8" i="18" a="1"/>
  <c r="AR5" i="18" a="1"/>
  <c r="AU43" i="18" a="1"/>
  <c r="BA10" i="18" a="1"/>
  <c r="BB11" i="18" a="1"/>
  <c r="AT32" i="18" a="1"/>
  <c r="BB45" i="18" a="1"/>
  <c r="BD38" i="18" a="1"/>
  <c r="AX37" i="18" a="1"/>
  <c r="BA7" i="18" a="1"/>
  <c r="BH18" i="18" a="1"/>
  <c r="AP34" i="18" a="1"/>
  <c r="AU21" i="18" a="1"/>
  <c r="BF31" i="18" a="1"/>
  <c r="AQ36" i="18" a="1"/>
  <c r="AS34" i="18" a="1"/>
  <c r="BE37" i="18" a="1"/>
  <c r="BE8" i="18" a="1"/>
  <c r="AS37" i="18" a="1"/>
  <c r="AW16" i="18" a="1"/>
  <c r="AT45" i="18" a="1"/>
  <c r="BH8" i="18" a="1"/>
  <c r="AQ40" i="18" a="1"/>
  <c r="AU37" i="18" a="1"/>
  <c r="AZ26" i="18" a="1"/>
  <c r="BA48" i="18" a="1"/>
  <c r="R47" i="14" a="1"/>
  <c r="AY21" i="18" a="1"/>
  <c r="AZ25" i="18" a="1"/>
  <c r="AQ15" i="18" a="1"/>
  <c r="BA12" i="18" a="1"/>
  <c r="AT29" i="18" a="1"/>
  <c r="AX34" i="18" a="1"/>
  <c r="AU18" i="18" a="1"/>
  <c r="AS7" i="18" a="1"/>
  <c r="BD27" i="18" a="1"/>
  <c r="AX31" i="18" a="1"/>
  <c r="AW28" i="18" a="1"/>
  <c r="BA39" i="18" a="1"/>
  <c r="R6" i="14" a="1"/>
  <c r="R43" i="14" a="1"/>
  <c r="BA13" i="18" a="1"/>
  <c r="BF18" i="18" a="1"/>
  <c r="AP30" i="18" a="1"/>
  <c r="R37" i="14" a="1"/>
  <c r="BE18" i="18" a="1"/>
  <c r="AU34" i="18" a="1"/>
  <c r="AV28" i="18" a="1"/>
  <c r="BA42" i="18" a="1"/>
  <c r="BH30" i="18" a="1"/>
  <c r="BB9" i="18" a="1"/>
  <c r="BH28" i="18" a="1"/>
  <c r="AW44" i="18" a="1"/>
  <c r="BF36" i="18" a="1"/>
  <c r="AQ29" i="18" a="1"/>
  <c r="AZ20" i="18" a="1"/>
  <c r="BE14" i="18" a="1"/>
  <c r="R31" i="14" a="1"/>
  <c r="AQ23" i="18" a="1"/>
  <c r="BG7" i="18" a="1"/>
  <c r="BH22" i="18" a="1"/>
  <c r="AZ31" i="18" a="1"/>
  <c r="AZ47" i="18" a="1"/>
  <c r="AP16" i="18" a="1"/>
  <c r="BB35" i="18" a="1"/>
  <c r="AR25" i="18" a="1"/>
  <c r="AZ37" i="18" a="1"/>
  <c r="AP42" i="18" a="1"/>
  <c r="BF25" i="18" a="1"/>
  <c r="BB33" i="18" a="1"/>
  <c r="AQ31" i="18" a="1"/>
  <c r="AZ40" i="18" a="1"/>
  <c r="AU36" i="18" a="1"/>
  <c r="BF17" i="18" a="1"/>
  <c r="BD39" i="18" a="1"/>
  <c r="BG27" i="18" a="1"/>
  <c r="AP18" i="18" a="1"/>
  <c r="BB12" i="18" a="1"/>
  <c r="AV25" i="18" a="1"/>
  <c r="AS41" i="18" a="1"/>
  <c r="BG28" i="18" a="1"/>
  <c r="BD13" i="18" a="1"/>
  <c r="AT14" i="18" a="1"/>
  <c r="AY39" i="18" a="1"/>
  <c r="AV14" i="18" a="1"/>
  <c r="AP37" i="18" a="1"/>
  <c r="AZ32" i="18" a="1"/>
  <c r="AX47" i="18" a="1"/>
  <c r="BE38" i="18" a="1"/>
  <c r="AQ47" i="18" a="1"/>
  <c r="BA9" i="18" a="1"/>
  <c r="AR37" i="18" a="1"/>
  <c r="AQ9" i="18" a="1"/>
  <c r="BD41" i="18" a="1"/>
  <c r="BB46" i="18" a="1"/>
  <c r="BC34" i="18" a="1"/>
  <c r="BA24" i="18" a="1"/>
  <c r="AX7" i="18" a="1"/>
  <c r="BA45" i="18" a="1"/>
  <c r="AR41" i="18" a="1"/>
  <c r="AS19" i="18" a="1"/>
  <c r="R51" i="14" a="1"/>
  <c r="AW15" i="18" a="1"/>
  <c r="AP5" i="18" a="1"/>
  <c r="AR15" i="18" a="1"/>
  <c r="BC48" i="18" a="1"/>
  <c r="AT23" i="18" a="1"/>
  <c r="AY44" i="18" a="1"/>
  <c r="BA26" i="18" a="1"/>
  <c r="BH31" i="18" a="1"/>
  <c r="BD31" i="18" a="1"/>
  <c r="BA50" i="18" a="1"/>
  <c r="AV18" i="18" a="1"/>
  <c r="AS40" i="18" a="1"/>
  <c r="BD28" i="18" a="1"/>
  <c r="BD26" i="18" a="1"/>
  <c r="AT34" i="18" a="1"/>
  <c r="BD49" i="18" a="1"/>
  <c r="BC45" i="18" a="1"/>
  <c r="BD19" i="18" a="1"/>
  <c r="AT47" i="18" a="1"/>
  <c r="BB23" i="18" a="1"/>
  <c r="AY33" i="18" a="1"/>
  <c r="AP43" i="18" a="1"/>
  <c r="BA18" i="18" a="1"/>
  <c r="BB40" i="18" a="1"/>
  <c r="AW23" i="18" a="1"/>
  <c r="BH10" i="18" a="1"/>
  <c r="BD10" i="18" a="1"/>
  <c r="AP45" i="18" a="1"/>
  <c r="AR29" i="18" a="1"/>
  <c r="BG41" i="18" a="1"/>
  <c r="AS12" i="18" a="1"/>
  <c r="AQ37" i="18" a="1"/>
  <c r="AZ30" i="18" a="1"/>
  <c r="BE17" i="18" a="1"/>
  <c r="BH5" i="18" a="1"/>
  <c r="BC49" i="18" a="1"/>
  <c r="AZ33" i="18" a="1"/>
  <c r="AZ18" i="18" a="1"/>
  <c r="AS10" i="18" a="1"/>
  <c r="AV35" i="18" a="1"/>
  <c r="R32" i="14" a="1"/>
  <c r="BA35" i="18" a="1"/>
  <c r="BG22" i="18" a="1"/>
  <c r="R18" i="14" a="1"/>
  <c r="AU42" i="18" a="1"/>
  <c r="BH46" i="18" a="1"/>
  <c r="BA19" i="18" a="1"/>
  <c r="BC43" i="18" a="1"/>
  <c r="AR42" i="18" a="1"/>
  <c r="AW20" i="18" a="1"/>
  <c r="AY16" i="18" a="1"/>
  <c r="AQ49" i="18" a="1"/>
  <c r="BF29" i="18" a="1"/>
  <c r="BG40" i="18" a="1"/>
  <c r="AR10" i="18" a="1"/>
  <c r="AV32" i="18" a="1"/>
  <c r="BD7" i="18" a="1"/>
  <c r="AU22" i="18" a="1"/>
  <c r="BB43" i="18" a="1"/>
  <c r="AT12" i="18" a="1"/>
  <c r="BH48" i="18" a="1"/>
  <c r="BE24" i="18" a="1"/>
  <c r="AR49" i="18" a="1"/>
  <c r="AS15" i="18" a="1"/>
  <c r="AZ15" i="18" a="1"/>
  <c r="AT37" i="18" a="1"/>
  <c r="AZ7" i="18" a="1"/>
  <c r="BG29" i="18" a="1"/>
  <c r="AX13" i="18" a="1"/>
  <c r="BH12" i="18" a="1"/>
  <c r="AU13" i="18" a="1"/>
  <c r="BF11" i="18" a="1"/>
  <c r="BC22" i="18" a="1"/>
  <c r="AS18" i="18" a="1"/>
  <c r="AY23" i="18" a="1"/>
  <c r="AY50" i="18" a="1"/>
  <c r="AP40" i="18" a="1"/>
  <c r="AP33" i="18" a="1"/>
  <c r="AU28" i="18" a="1"/>
  <c r="BC41" i="18" a="1"/>
  <c r="AW7" i="18" a="1"/>
  <c r="BB5" i="18" a="1"/>
  <c r="BE48" i="18" a="1"/>
  <c r="AR38" i="18" a="1"/>
  <c r="BD43" i="18" a="1"/>
  <c r="AW18" i="18" a="1"/>
  <c r="BA37" i="18" a="1"/>
  <c r="AY41" i="18" a="1"/>
  <c r="AX46" i="18" a="1"/>
  <c r="BB50" i="18" a="1"/>
  <c r="AX32" i="18" a="1"/>
  <c r="BC31" i="18" a="1"/>
  <c r="AR24" i="18" a="1"/>
  <c r="AQ45" i="18" a="1"/>
  <c r="AR47" i="18" a="1"/>
  <c r="AT36" i="18" a="1"/>
  <c r="AQ48" i="18" a="1"/>
  <c r="AP19" i="18" a="1"/>
  <c r="AV10" i="18" a="1"/>
  <c r="BH39" i="18" a="1"/>
  <c r="AX25" i="18" a="1"/>
  <c r="BE39" i="18" a="1"/>
  <c r="AW49" i="18" a="1"/>
  <c r="AX17" i="18" a="1"/>
  <c r="BC18" i="18" a="1"/>
  <c r="BA25" i="18" a="1"/>
  <c r="AU29" i="18" a="1"/>
  <c r="AU12" i="18" a="1"/>
  <c r="AP31" i="18" a="1"/>
  <c r="R29" i="14" a="1"/>
  <c r="AS11" i="18" a="1"/>
  <c r="BF7" i="18" a="1"/>
  <c r="BE45" i="18" a="1"/>
  <c r="R36" i="14" a="1"/>
  <c r="AW10" i="18" a="1"/>
  <c r="AU14" i="18" a="1"/>
  <c r="BE16" i="18" a="1"/>
  <c r="BE35" i="18" a="1"/>
  <c r="AX9" i="18" a="1"/>
  <c r="BD18" i="18" a="1"/>
  <c r="AW21" i="18" a="1"/>
  <c r="AW37" i="18" a="1"/>
  <c r="AY45" i="18" a="1"/>
  <c r="BB13" i="18" a="1"/>
  <c r="BC20" i="18" a="1"/>
  <c r="BB44" i="18" a="1"/>
  <c r="AX22" i="18" a="1"/>
  <c r="BH14" i="18" a="1"/>
  <c r="AZ24" i="18" a="1"/>
  <c r="BH49" i="18" a="1"/>
  <c r="BA41" i="18" a="1"/>
  <c r="AQ34" i="18" a="1"/>
  <c r="AX15" i="18" a="1"/>
  <c r="AQ14" i="18" a="1"/>
  <c r="AU20" i="18" a="1"/>
  <c r="BB30" i="18" a="1"/>
  <c r="BC23" i="18" a="1"/>
  <c r="AU5" i="18" a="1"/>
  <c r="BA34" i="18" a="1"/>
  <c r="AS46" i="18" a="1"/>
  <c r="BA32" i="18" a="1"/>
  <c r="BC32" i="18" a="1"/>
  <c r="AQ26" i="18" a="1"/>
  <c r="AR35" i="18" a="1"/>
  <c r="AY32" i="18" a="1"/>
  <c r="BG37" i="18" a="1"/>
  <c r="BC7" i="18" a="1"/>
  <c r="BE7" i="18" a="1"/>
  <c r="AZ43" i="18" a="1"/>
  <c r="BG24" i="18" a="1"/>
  <c r="AZ50" i="18" a="1"/>
  <c r="BD17" i="18" a="1"/>
  <c r="BG43" i="18" a="1"/>
  <c r="AY34" i="18" a="1"/>
  <c r="BA31" i="18" a="1"/>
  <c r="AZ12" i="18" a="1"/>
  <c r="AR19" i="18" a="1"/>
  <c r="BH43" i="18" a="1"/>
  <c r="AU25" i="18" a="1"/>
  <c r="BF30" i="18" a="1"/>
  <c r="BE47" i="18" a="1"/>
  <c r="BF46" i="18" a="1"/>
  <c r="BA20" i="18" a="1"/>
  <c r="BB41" i="18" a="1"/>
  <c r="AW38" i="18" a="1"/>
  <c r="AQ18" i="18" a="1"/>
  <c r="AX49" i="18" a="1"/>
  <c r="AQ8" i="18" a="1"/>
  <c r="BF24" i="18" a="1"/>
  <c r="BG34" i="18" a="1"/>
  <c r="BG10" i="18" a="1"/>
  <c r="AZ29" i="18" a="1"/>
  <c r="BC10" i="18" a="1"/>
  <c r="AP17" i="18" a="1"/>
  <c r="BC11" i="18" a="1"/>
  <c r="AU33" i="18" a="1"/>
  <c r="AQ5" i="18" a="1"/>
  <c r="R15" i="14" a="1"/>
  <c r="BG18" i="18" a="1"/>
  <c r="BA38" i="18" a="1"/>
  <c r="BB49" i="18" a="1"/>
  <c r="AR30" i="18" a="1"/>
  <c r="AY40" i="18" a="1"/>
  <c r="AX33" i="18" a="1"/>
  <c r="AY49" i="18" a="1"/>
  <c r="BC16" i="18" a="1"/>
  <c r="AR36" i="18" a="1"/>
  <c r="BF23" i="18" a="1"/>
  <c r="BB18" i="18" a="1"/>
  <c r="BG15" i="18" a="1"/>
  <c r="BF28" i="18" a="1"/>
  <c r="AR14" i="18" a="1"/>
  <c r="AY48" i="18" a="1"/>
  <c r="BB17" i="18" a="1"/>
  <c r="AT5" i="18" a="1"/>
  <c r="AW5" i="18" a="1"/>
  <c r="R34" i="14" a="1"/>
  <c r="AZ35" i="18" a="1"/>
  <c r="AZ45" i="18" a="1"/>
  <c r="BG19" i="18" a="1"/>
  <c r="BG33" i="18" a="1"/>
  <c r="BD30" i="18" a="1"/>
  <c r="BE44" i="18" a="1"/>
  <c r="BC40" i="18" a="1"/>
  <c r="AY28" i="18" a="1"/>
  <c r="AS22" i="18" a="1"/>
  <c r="AX39" i="18" a="1"/>
  <c r="AP46" i="18" a="1"/>
  <c r="BB37" i="18" a="1"/>
  <c r="AV39" i="18" a="1"/>
  <c r="AW17" i="18" a="1"/>
  <c r="AZ38" i="18" a="1"/>
  <c r="BC33" i="18" a="1"/>
  <c r="AZ41" i="18" a="1"/>
  <c r="BG45" i="18" a="1"/>
  <c r="AW31" i="18" a="1"/>
  <c r="AX29" i="18" a="1"/>
  <c r="BE13" i="18" a="1"/>
  <c r="AP32" i="18" a="1"/>
  <c r="AS35" i="18" a="1"/>
  <c r="AS28" i="18" a="1"/>
  <c r="BH45" i="18" a="1"/>
  <c r="BC42" i="18" a="1"/>
  <c r="AT8" i="18" a="1"/>
  <c r="BF50" i="18" a="1"/>
  <c r="AP13" i="18" a="1"/>
  <c r="AS20" i="18" a="1"/>
  <c r="AV12" i="18" a="1"/>
  <c r="AX21" i="18" a="1"/>
  <c r="BH38" i="18" a="1"/>
  <c r="BF39" i="18" a="1"/>
  <c r="AU41" i="18" a="1"/>
  <c r="BC37" i="18" a="1"/>
  <c r="AX48" i="18" a="1"/>
  <c r="AQ28" i="18" a="1"/>
  <c r="AT22" i="18" a="1"/>
  <c r="AZ16" i="18" a="1"/>
  <c r="AT9" i="18" a="1"/>
  <c r="AR45" i="18" a="1"/>
  <c r="AS44" i="18" a="1"/>
  <c r="BA21" i="18" a="1"/>
  <c r="BA22" i="18" a="1"/>
  <c r="R42" i="14" a="1"/>
  <c r="AU15" i="18" a="1"/>
  <c r="AY18" i="18" a="1"/>
  <c r="AQ20" i="18" a="1"/>
  <c r="R39" i="14" a="1"/>
  <c r="BA16" i="18" a="1"/>
  <c r="AT48" i="18" a="1"/>
  <c r="AW29" i="18" a="1"/>
  <c r="AZ46" i="18" a="1"/>
  <c r="AQ33" i="18" a="1"/>
  <c r="BA46" i="18" a="1"/>
  <c r="AR9" i="18" a="1"/>
  <c r="BG14" i="18" a="1"/>
  <c r="AV15" i="18" a="1"/>
  <c r="BA36" i="18" a="1"/>
  <c r="AU31" i="18" a="1"/>
  <c r="BG32" i="18" a="1"/>
  <c r="AQ22" i="18" a="1"/>
  <c r="BB16" i="18" a="1"/>
  <c r="AS5" i="18" a="1"/>
  <c r="BB32" i="18" a="1"/>
  <c r="BD21" i="18" a="1"/>
  <c r="AX18" i="18" a="1"/>
  <c r="BF48" i="18" a="1"/>
  <c r="AR46" i="18" a="1"/>
  <c r="AX26" i="18" a="1"/>
  <c r="AR44" i="18" a="1"/>
  <c r="AV33" i="18" a="1"/>
  <c r="BG47" i="18" a="1"/>
  <c r="R54" i="14" a="1"/>
  <c r="BF41" i="18" a="1"/>
  <c r="AV20" i="18" a="1"/>
  <c r="BF9" i="18" a="1"/>
  <c r="BF37" i="18" a="1"/>
  <c r="AX40" i="18" a="1"/>
  <c r="BF27" i="18" a="1"/>
  <c r="AY7" i="18" a="1"/>
  <c r="BE30" i="18" a="1"/>
  <c r="BC50" i="18" a="1"/>
  <c r="BD37" i="18" a="1"/>
  <c r="BH32" i="18" a="1"/>
  <c r="R20" i="14" a="1"/>
  <c r="AQ17" i="18" a="1"/>
  <c r="AV27" i="18" a="1"/>
  <c r="AR13" i="18" a="1"/>
  <c r="BA5" i="18" a="1"/>
  <c r="BE27" i="18" a="1"/>
  <c r="R45" i="14" a="1"/>
  <c r="BC30" i="18" a="1"/>
  <c r="AR16" i="18" a="1"/>
  <c r="AV49" i="18" a="1"/>
  <c r="AY25" i="18" a="1"/>
  <c r="AY14" i="18" a="1"/>
  <c r="BA47" i="18" a="1"/>
  <c r="BH42" i="18" a="1"/>
  <c r="AV31" i="18" a="1"/>
  <c r="AZ23" i="18" a="1"/>
  <c r="BC44" i="18" a="1"/>
  <c r="AU30" i="18" a="1"/>
  <c r="AU50" i="18" a="1"/>
  <c r="BE22" i="18" a="1"/>
  <c r="BG30" i="18" a="1"/>
  <c r="AQ32" i="18" a="1"/>
  <c r="AV21" i="18" a="1"/>
  <c r="BG23" i="18" a="1"/>
  <c r="BE20" i="18" a="1"/>
  <c r="AY37" i="18" a="1"/>
  <c r="AU24" i="18" a="1"/>
  <c r="AP49" i="18" a="1"/>
  <c r="AY10" i="18" a="1"/>
  <c r="AS25" i="18" a="1"/>
  <c r="R53" i="14" a="1"/>
  <c r="BF34" i="18" a="1"/>
  <c r="AQ39" i="18" a="1"/>
  <c r="AW9" i="18" a="1"/>
  <c r="AU19" i="18" a="1"/>
  <c r="BH44" i="18" a="1"/>
  <c r="AV26" i="18" a="1"/>
  <c r="AV22" i="18" a="1"/>
  <c r="BD23" i="18" a="1"/>
  <c r="R30" i="14" a="1"/>
  <c r="BH11" i="18" a="1"/>
  <c r="AZ11" i="18" a="1"/>
  <c r="BE41" i="18" a="1"/>
  <c r="AQ35" i="18" a="1"/>
  <c r="R33" i="14" a="1"/>
  <c r="AZ27" i="18" a="1"/>
  <c r="BC39" i="18" a="1"/>
  <c r="BE32" i="18" a="1"/>
  <c r="R25" i="14" a="1"/>
  <c r="BA23" i="18" a="1"/>
  <c r="BE33" i="18" a="1"/>
  <c r="R16" i="14" a="1"/>
  <c r="R40" i="14" a="1"/>
  <c r="BC26" i="18" a="1"/>
  <c r="AU16" i="18" a="1"/>
  <c r="BF33" i="18" a="1"/>
  <c r="AY5" i="18" a="1"/>
  <c r="BA49" i="18" a="1"/>
  <c r="AW33" i="18" a="1"/>
  <c r="AY31" i="18" a="1"/>
  <c r="BB24" i="18" a="1"/>
  <c r="AU47" i="18" a="1"/>
  <c r="AP24" i="18" a="1"/>
  <c r="AY36" i="18" a="1"/>
  <c r="BF20" i="18" a="1"/>
  <c r="AW25" i="18" a="1"/>
  <c r="AV46" i="18" a="1"/>
  <c r="BC12" i="18" a="1"/>
  <c r="AX20" i="18" a="1"/>
  <c r="BA27" i="18" a="1"/>
  <c r="AZ22" i="18" a="1"/>
  <c r="AR11" i="18" a="1"/>
  <c r="AV36" i="18" a="1"/>
  <c r="BE25" i="18" a="1"/>
  <c r="BC28" i="18" a="1"/>
  <c r="AW26" i="18" a="1"/>
  <c r="AU23" i="18" a="1"/>
  <c r="BE40" i="18" a="1"/>
  <c r="AW39" i="18" a="1"/>
  <c r="AS14" i="18" a="1"/>
  <c r="AW32" i="18" a="1"/>
  <c r="BH24" i="18" a="1"/>
  <c r="AW35" i="18" a="1"/>
  <c r="AZ19" i="18" a="1"/>
  <c r="BF35" i="18" a="1"/>
  <c r="AU9" i="18" a="1"/>
  <c r="AZ9" i="18" a="1"/>
  <c r="AW14" i="18" a="1"/>
  <c r="BC5" i="18" a="1"/>
  <c r="BD5" i="18" a="1"/>
  <c r="AX5" i="18" a="1"/>
  <c r="AV8" i="18" a="1"/>
  <c r="BB14" i="18" a="1"/>
  <c r="AY17" i="18" a="1"/>
  <c r="AT35" i="18" a="1"/>
  <c r="BF21" i="18" a="1"/>
  <c r="AS36" i="18" a="1"/>
  <c r="BG50" i="18" a="1"/>
  <c r="AX8" i="18" a="1"/>
  <c r="BC47" i="18" a="1"/>
  <c r="AT19" i="18" a="1"/>
  <c r="BE5" i="18" a="1"/>
  <c r="AP9" i="18" a="1"/>
  <c r="AS38" i="18" a="1"/>
  <c r="BF19" i="18" a="1"/>
  <c r="AP14" i="18" a="1"/>
  <c r="AR39" i="18" a="1"/>
  <c r="AY38" i="18" a="1"/>
  <c r="AR32" i="18" a="1"/>
  <c r="BG26" i="18" a="1"/>
  <c r="BF32" i="18" a="1"/>
  <c r="BD36" i="18" a="1"/>
  <c r="AS21" i="18" a="1"/>
  <c r="AZ36" i="18" a="1"/>
  <c r="AX12" i="18" a="1"/>
  <c r="BA33" i="18" a="1"/>
  <c r="AR31" i="18" a="1"/>
  <c r="AT27" i="18" a="1"/>
  <c r="BF47" i="18" a="1"/>
  <c r="AW19" i="18" a="1"/>
  <c r="BG36" i="18" a="1"/>
  <c r="BE31" i="18" a="1"/>
  <c r="AT16" i="18" a="1"/>
  <c r="AV16" i="18" a="1"/>
  <c r="AR20" i="18" a="1"/>
  <c r="AZ5" i="18" a="1"/>
  <c r="BE23" i="18" a="1"/>
  <c r="AT31" i="18" a="1"/>
  <c r="AX11" i="18" a="1"/>
  <c r="BA11" i="18" a="1"/>
  <c r="AQ27" i="18" a="1"/>
  <c r="BB42" i="18" a="1"/>
  <c r="BD47" i="18" a="1"/>
  <c r="AT25" i="18" a="1"/>
  <c r="R11" i="14" a="1"/>
  <c r="AZ8" i="18" a="1"/>
  <c r="AQ43" i="18" a="1"/>
  <c r="AS43" i="18" a="1"/>
  <c r="BE21" i="18" a="1"/>
  <c r="AZ44" i="18" a="1"/>
  <c r="AY29" i="18" a="1"/>
  <c r="AS47" i="18" a="1"/>
  <c r="BC15" i="18" a="1"/>
  <c r="AU40" i="18" a="1"/>
  <c r="BC35" i="18" a="1"/>
  <c r="R17" i="14" a="1"/>
  <c r="BE10" i="18" a="1"/>
  <c r="AT26" i="18" a="1"/>
  <c r="BD46" i="18" a="1"/>
  <c r="AY13" i="18" a="1"/>
  <c r="AV19" i="18" a="1"/>
  <c r="BC14" i="18" a="1"/>
  <c r="R14" i="14" a="1"/>
  <c r="AQ16" i="18" a="1"/>
  <c r="BH25" i="18" a="1"/>
  <c r="AU38" i="18" a="1"/>
  <c r="AY11" i="18" a="1"/>
  <c r="AU11" i="18" a="1"/>
  <c r="AP20" i="18" a="1"/>
  <c r="AR40" i="18" a="1"/>
  <c r="R49" i="14" a="1"/>
  <c r="BH29" i="18" a="1"/>
  <c r="AP28" i="18" a="1"/>
  <c r="R52" i="14" a="1"/>
  <c r="AS50" i="18" a="1"/>
  <c r="BA40" i="18" a="1"/>
  <c r="AY20" i="18" a="1"/>
  <c r="AW48" i="18" a="1"/>
  <c r="AR34" i="18" a="1"/>
  <c r="AQ25" i="18" a="1"/>
  <c r="BD29" i="18" a="1"/>
  <c r="BH41" i="18" a="1"/>
  <c r="AQ42" i="18" a="1"/>
  <c r="BD44" i="18" a="1"/>
  <c r="BB10" i="18" a="1"/>
  <c r="AS48" i="18" a="1"/>
  <c r="AX16" i="18" a="1"/>
  <c r="AV42" i="18" a="1"/>
  <c r="AY47" i="18" a="1"/>
  <c r="AS49" i="18" a="1"/>
  <c r="BD40" i="18" a="1"/>
  <c r="AW36" i="18" a="1"/>
  <c r="BD45" i="18" a="1"/>
  <c r="AZ10" i="18" a="1"/>
  <c r="AW50" i="18" a="1"/>
  <c r="AV44" i="18" a="1"/>
  <c r="AQ12" i="18" a="1"/>
  <c r="AT46" i="18" a="1"/>
  <c r="BE46" i="18" a="1"/>
  <c r="AQ50" i="18" a="1"/>
  <c r="AW13" i="18" a="1"/>
  <c r="AT11" i="18" a="1"/>
  <c r="BB21" i="18" a="1"/>
  <c r="BH20" i="18" a="1"/>
  <c r="BC13" i="18" a="1"/>
  <c r="AV43" i="18" a="1"/>
  <c r="AV38" i="18" a="1"/>
  <c r="AT40" i="18" a="1"/>
  <c r="AP38" i="18" a="1"/>
  <c r="BG5" i="18" a="1"/>
  <c r="AS32" i="18" a="1"/>
  <c r="AQ41" i="18" a="1"/>
  <c r="BG12" i="18" a="1"/>
  <c r="R48" i="14" a="1"/>
  <c r="AY26" i="18" a="1"/>
  <c r="AW42" i="18" a="1"/>
  <c r="BD48" i="18" a="1"/>
  <c r="BC21" i="18" a="1"/>
  <c r="AY15" i="18" a="1"/>
  <c r="BF42" i="18" a="1"/>
  <c r="BE19" i="18" a="1"/>
  <c r="AZ13" i="18" a="1"/>
  <c r="BB15" i="18" a="1"/>
  <c r="R35" i="14" a="1"/>
  <c r="BH26" i="18" a="1"/>
  <c r="BE34" i="18" a="1"/>
  <c r="BH34" i="18" a="1"/>
  <c r="AP26" i="18" a="1"/>
  <c r="BB27" i="18" a="1"/>
  <c r="AW40" i="18" a="1"/>
  <c r="AX50" i="18" a="1"/>
  <c r="AU45" i="18" a="1"/>
  <c r="BB25" i="18" a="1"/>
  <c r="AR50" i="18" a="1"/>
  <c r="AT7" i="18" a="1"/>
  <c r="BF14" i="18" a="1"/>
  <c r="AP48" i="18" a="1"/>
  <c r="AT28" i="18" a="1"/>
  <c r="BB22" i="18" a="1"/>
  <c r="AT39" i="18" a="1"/>
  <c r="AS24" i="18" a="1"/>
  <c r="AU10" i="18" a="1"/>
  <c r="AP25" i="18" a="1"/>
  <c r="R12" i="14" a="1"/>
  <c r="AQ44" i="18" a="1"/>
  <c r="AV11" i="18" a="1"/>
  <c r="AZ48" i="18" a="1"/>
  <c r="AP11" i="18" a="1"/>
  <c r="BE36" i="18" a="1"/>
  <c r="BA17" i="18" a="1"/>
  <c r="AZ21" i="18" a="1"/>
  <c r="BD42" i="18" a="1"/>
  <c r="BH7" i="18" a="1"/>
  <c r="AU7" i="18" a="1"/>
  <c r="AW30" i="18" a="1"/>
  <c r="AY12" i="18" a="1"/>
  <c r="AS42" i="18" a="1"/>
  <c r="R10" i="14" a="1"/>
  <c r="BH15" i="18" a="1"/>
  <c r="AS27" i="18" a="1"/>
  <c r="AP27" i="18" a="1"/>
  <c r="AV45" i="18" a="1"/>
  <c r="AR26" i="18" a="1"/>
  <c r="BH13" i="18" a="1"/>
  <c r="AT13" i="18" a="1"/>
  <c r="AZ17" i="18" a="1"/>
  <c r="AR12" i="18" a="1"/>
  <c r="AV5" i="18" a="1"/>
  <c r="BC19" i="18" a="1"/>
  <c r="BF44" i="18" a="1"/>
  <c r="BC46" i="18" a="1"/>
  <c r="BF49" i="18" a="1"/>
  <c r="BC25" i="18" a="1"/>
  <c r="AY46" i="18" a="1"/>
  <c r="BB29" i="18" a="1"/>
  <c r="R41" i="14" a="1"/>
  <c r="AX27" i="18" a="1"/>
  <c r="BG39" i="18" a="1"/>
  <c r="AY9" i="18" a="1"/>
  <c r="AV7" i="18" a="1"/>
  <c r="AQ21" i="18" a="1"/>
  <c r="AX30" i="18" a="1"/>
  <c r="BF45" i="18" a="1"/>
  <c r="AY24" i="18" a="1"/>
  <c r="AY22" i="18" a="1"/>
  <c r="AW45" i="18" a="1"/>
  <c r="AS13" i="18" a="1"/>
  <c r="BB48" i="18" a="1"/>
  <c r="BG46" i="18" a="1"/>
  <c r="BC36" i="18" a="1"/>
  <c r="AT30" i="18" a="1"/>
  <c r="R21" i="14" a="1"/>
  <c r="AS45" i="18" a="1"/>
  <c r="BB19" i="18" a="1"/>
  <c r="BD22" i="18" a="1"/>
  <c r="BF40" i="18" a="1"/>
  <c r="AV30" i="18" a="1"/>
  <c r="AS23" i="18" a="1"/>
  <c r="AP21" i="18" a="1"/>
  <c r="AZ39" i="18" a="1"/>
  <c r="AT50" i="18" a="1"/>
  <c r="BD33" i="18" a="1"/>
  <c r="AU46" i="18" a="1"/>
  <c r="AW43" i="18" a="1"/>
  <c r="AP36" i="18" a="1"/>
  <c r="AP23" i="18" a="1"/>
  <c r="AV23" i="18" a="1"/>
  <c r="BB26" i="18" a="1"/>
  <c r="AP22" i="18" a="1"/>
  <c r="AT21" i="18" a="1"/>
  <c r="BF16" i="18" a="1"/>
  <c r="AT20" i="18" a="1"/>
  <c r="BH50" i="18" a="1"/>
  <c r="AY27" i="18" a="1"/>
  <c r="AR18" i="18" a="1"/>
  <c r="BE26" i="18" a="1"/>
  <c r="AY35" i="18" a="1"/>
  <c r="AR8" i="18" a="1"/>
  <c r="AP12" i="18" a="1"/>
  <c r="BD20" i="18" a="1"/>
  <c r="AW46" i="18" a="1"/>
  <c r="BF10" i="18" a="1"/>
  <c r="AS17" i="18" a="1"/>
  <c r="BG31" i="18" a="1"/>
  <c r="AY43" i="18" a="1"/>
  <c r="AW24" i="18" a="1"/>
  <c r="BA15" i="18" a="1"/>
  <c r="AV47" i="18" a="1"/>
  <c r="AX45" i="18" a="1"/>
  <c r="AQ46" i="18" a="1"/>
  <c r="BH21" i="18" a="1"/>
  <c r="AQ7" i="18" a="1"/>
  <c r="BG17" i="18" a="1"/>
  <c r="AX42" i="18" a="1"/>
  <c r="BA28" i="18" a="1"/>
  <c r="BG21" i="18" a="1"/>
  <c r="BH37" i="18" a="1"/>
  <c r="BF38" i="18" a="1"/>
  <c r="AQ13" i="18" a="1"/>
  <c r="BE28" i="18" a="1"/>
  <c r="AW47" i="18" a="1"/>
  <c r="AW11" i="18" a="1"/>
  <c r="BG38" i="18" a="1"/>
  <c r="BB39" i="18" a="1"/>
  <c r="AX43" i="18" a="1"/>
  <c r="AZ28" i="18" a="1"/>
  <c r="AW12" i="18" a="1"/>
  <c r="BD8" i="18" a="1"/>
  <c r="AQ19" i="18" a="1"/>
  <c r="BC24" i="18" a="1"/>
  <c r="BF15" i="18" a="1"/>
  <c r="AR27" i="18" a="1"/>
  <c r="AV29" i="18" a="1"/>
  <c r="BH36" i="18" a="1"/>
  <c r="AT44" i="18" a="1"/>
  <c r="AZ49" i="18" a="1"/>
  <c r="BD16" i="18" a="1"/>
  <c r="BE42" i="18" a="1"/>
  <c r="BG20" i="18" a="1"/>
  <c r="BH40" i="18" a="1"/>
  <c r="R8" i="14" a="1"/>
  <c r="AS16" i="18" a="1"/>
  <c r="AQ10" i="18" a="1"/>
  <c r="AP50" i="18" a="1"/>
  <c r="BG42" i="18" a="1"/>
  <c r="AV34" i="18" a="1"/>
  <c r="AU17" i="18" a="1"/>
  <c r="BB36" i="18" a="1"/>
  <c r="AT49" i="18" a="1"/>
  <c r="AR28" i="18" a="1"/>
  <c r="AX28" i="18" a="1"/>
  <c r="BF26" i="18" a="1"/>
  <c r="BE15" i="18" a="1"/>
  <c r="AT38" i="18" a="1"/>
  <c r="BH23" i="18" a="1"/>
  <c r="BD24" i="18" a="1"/>
  <c r="AS31" i="18" a="1"/>
  <c r="AU49" i="18" a="1"/>
  <c r="BG44" i="18" a="1"/>
  <c r="BH47" i="18" a="1"/>
  <c r="BD12" i="18" a="1"/>
  <c r="BB38" i="18" a="1"/>
  <c r="AV41" i="18" a="1"/>
  <c r="BG25" i="18" a="1"/>
  <c r="AV48" i="18" a="1"/>
  <c r="BD50" i="18" a="1"/>
  <c r="AX10" i="18" a="1"/>
  <c r="AS29" i="18" a="1"/>
  <c r="BC9" i="18" a="1"/>
  <c r="AS9" i="18" a="1"/>
  <c r="AR33" i="18" a="1"/>
  <c r="AR17" i="18" a="1"/>
  <c r="R50" i="14" a="1"/>
  <c r="AS30" i="18" a="1"/>
  <c r="AY42" i="18" a="1"/>
  <c r="AZ34" i="18" a="1"/>
  <c r="BB8" i="18" a="1"/>
  <c r="AX38" i="18" a="1"/>
  <c r="AP39" i="18" a="1"/>
  <c r="R7" i="14" a="1"/>
  <c r="AW34" i="18" a="1"/>
  <c r="AW8" i="18" a="1"/>
  <c r="AU44" i="18" a="1"/>
  <c r="AU26" i="18" a="1"/>
  <c r="AX24" i="18" a="1"/>
  <c r="BH35" i="18" a="1"/>
  <c r="AT24" i="18" a="1"/>
  <c r="AV50" i="18" a="1"/>
  <c r="AR43" i="18" a="1"/>
  <c r="BB31" i="18" a="1"/>
  <c r="AR7" i="18" a="1"/>
  <c r="BA44" i="18" a="1"/>
  <c r="AS39" i="18" a="1"/>
  <c r="BC29" i="18" a="1"/>
  <c r="BE9" i="18" a="1"/>
  <c r="BH16" i="18" a="1"/>
  <c r="R27" i="14" a="1"/>
  <c r="AU48" i="18" a="1"/>
  <c r="AV9" i="18" a="1"/>
  <c r="BE49" i="18" a="1"/>
  <c r="BD25" i="18" a="1"/>
  <c r="AQ30" i="18" a="1"/>
  <c r="BD32" i="18" a="1"/>
  <c r="R19" i="14" a="1"/>
  <c r="AX36" i="18" a="1"/>
  <c r="AR22" i="18" a="1"/>
  <c r="AW41" i="18" a="1"/>
  <c r="BB7" i="18" a="1"/>
  <c r="AP44" i="18" a="1"/>
  <c r="BE43" i="18" a="1"/>
  <c r="BH19" i="18" a="1"/>
  <c r="AP7" i="18" a="1"/>
  <c r="AU27" i="18" a="1"/>
  <c r="AR21" i="18" a="1"/>
  <c r="R5" i="14" a="1"/>
  <c r="AV40" i="18" a="1"/>
  <c r="BF22" i="18" a="1"/>
  <c r="AV13" i="18" a="1"/>
  <c r="AT42" i="18" a="1"/>
  <c r="AS26" i="18" a="1"/>
  <c r="AY19" i="18" a="1"/>
  <c r="AT41" i="18" a="1"/>
  <c r="BG11" i="18" a="1"/>
  <c r="BH17" i="18" a="1"/>
  <c r="R38" i="14" a="1"/>
  <c r="AV37" i="18" a="1"/>
  <c r="AT10" i="18" a="1"/>
  <c r="AS8" i="18" a="1"/>
  <c r="BA8" i="18" a="1"/>
  <c r="BG8" i="18" a="1"/>
  <c r="BF5" i="18" a="1"/>
  <c r="AP8" i="18" a="1"/>
  <c r="BB20" i="18" a="1"/>
  <c r="R24" i="14" a="1"/>
  <c r="AP41" i="18" a="1"/>
  <c r="BC17" i="18" a="1"/>
  <c r="AW22" i="18" a="1"/>
  <c r="BD11" i="18" a="1"/>
  <c r="BH9" i="18" a="1"/>
  <c r="BD35" i="18" a="1"/>
  <c r="AU32" i="18" a="1"/>
  <c r="BE50" i="18" a="1"/>
  <c r="BE12" i="18" a="1"/>
  <c r="R28" i="14" a="1"/>
  <c r="AT43" i="18" a="1"/>
  <c r="AW27" i="18" a="1"/>
  <c r="AX14" i="18" a="1"/>
  <c r="AT17" i="18" a="1"/>
  <c r="R44" i="14" a="1"/>
  <c r="BG48" i="18" a="1"/>
  <c r="BG9" i="18" a="1"/>
  <c r="AY30" i="18" a="1"/>
  <c r="AV24" i="18" a="1"/>
  <c r="BF12" i="18" a="1"/>
  <c r="BA29" i="18" a="1"/>
  <c r="AT18" i="18" a="1"/>
  <c r="BD9" i="18" a="1"/>
  <c r="BE11" i="18" a="1"/>
  <c r="AQ11" i="18" a="1"/>
  <c r="BH33" i="18" a="1"/>
  <c r="AU35" i="18" a="1"/>
  <c r="AP47" i="18" a="1"/>
  <c r="AP35" i="18" a="1"/>
  <c r="AQ38" i="18" a="1"/>
  <c r="BD14" i="18" a="1"/>
  <c r="AP10" i="18" a="1"/>
  <c r="AX44" i="18" a="1"/>
  <c r="AT15" i="18" a="1"/>
  <c r="BG35" i="18" a="1"/>
  <c r="BB28" i="18" a="1"/>
  <c r="AQ24" i="18" a="1"/>
  <c r="R22" i="14" a="1"/>
  <c r="BG49" i="18" a="1"/>
  <c r="BA43" i="18" a="1"/>
  <c r="BF13" i="18" a="1"/>
  <c r="BG11" i="18" l="1"/>
  <c r="AV46" i="18"/>
  <c r="BE47" i="18"/>
  <c r="AS14" i="18"/>
  <c r="BB19" i="18"/>
  <c r="BA47" i="18"/>
  <c r="BA13" i="18"/>
  <c r="AZ42" i="18"/>
  <c r="R15" i="14"/>
  <c r="AT19" i="18"/>
  <c r="AQ46" i="18"/>
  <c r="AW39" i="18"/>
  <c r="BA18" i="18"/>
  <c r="BD9" i="18"/>
  <c r="BC21" i="18"/>
  <c r="AP46" i="18"/>
  <c r="AZ22" i="18"/>
  <c r="AU31" i="18"/>
  <c r="BD15" i="18"/>
  <c r="AY18" i="18"/>
  <c r="R46" i="14"/>
  <c r="AW7" i="18"/>
  <c r="BE12" i="18"/>
  <c r="BA9" i="18"/>
  <c r="AW23" i="18"/>
  <c r="AZ36" i="18"/>
  <c r="BB46" i="18"/>
  <c r="AR22" i="18"/>
  <c r="BH39" i="18"/>
  <c r="BC32" i="18"/>
  <c r="AR45" i="18"/>
  <c r="BH36" i="18"/>
  <c r="AU35" i="18"/>
  <c r="BH18" i="18"/>
  <c r="AV16" i="18"/>
  <c r="AW28" i="18"/>
  <c r="BA16" i="18"/>
  <c r="BE9" i="18"/>
  <c r="AW45" i="18"/>
  <c r="BG32" i="18"/>
  <c r="BE39" i="18"/>
  <c r="AU8" i="18"/>
  <c r="BC12" i="18"/>
  <c r="AW38" i="18"/>
  <c r="AS8" i="18"/>
  <c r="BH15" i="18"/>
  <c r="AS22" i="18"/>
  <c r="AX14" i="18"/>
  <c r="BB18" i="18"/>
  <c r="AZ37" i="18"/>
  <c r="BH47" i="18"/>
  <c r="BF35" i="18"/>
  <c r="AX8" i="18"/>
  <c r="BB22" i="18"/>
  <c r="AY27" i="18"/>
  <c r="AY7" i="18"/>
  <c r="AZ31" i="18"/>
  <c r="BF8" i="18"/>
  <c r="BF34" i="18"/>
  <c r="AP48" i="18"/>
  <c r="AZ17" i="18"/>
  <c r="AY12" i="18"/>
  <c r="BB9" i="18"/>
  <c r="AX43" i="18"/>
  <c r="AR43" i="18"/>
  <c r="AP49" i="18"/>
  <c r="AP28" i="18"/>
  <c r="AY13" i="18"/>
  <c r="BA49" i="18"/>
  <c r="AV34" i="18"/>
  <c r="AQ40" i="18"/>
  <c r="AX19" i="18"/>
  <c r="AU15" i="18"/>
  <c r="AV11" i="18"/>
  <c r="AW12" i="18"/>
  <c r="AW43" i="18"/>
  <c r="BE36" i="18"/>
  <c r="AP42" i="18"/>
  <c r="AV42" i="18"/>
  <c r="AX27" i="18"/>
  <c r="AS24" i="18"/>
  <c r="BD20" i="18"/>
  <c r="AP36" i="18"/>
  <c r="AY19" i="18"/>
  <c r="AX12" i="18"/>
  <c r="AZ38" i="18"/>
  <c r="R24" i="14"/>
  <c r="BG37" i="18"/>
  <c r="BG47" i="18"/>
  <c r="BG15" i="18"/>
  <c r="AR34" i="18"/>
  <c r="AS27" i="18"/>
  <c r="BA15" i="18"/>
  <c r="AW31" i="18"/>
  <c r="BA27" i="18"/>
  <c r="BD50" i="18"/>
  <c r="BG22" i="18"/>
  <c r="BH19" i="18"/>
  <c r="AW46" i="18"/>
  <c r="AX18" i="18"/>
  <c r="R16" i="14"/>
  <c r="AZ7" i="18"/>
  <c r="AS21" i="18"/>
  <c r="AY33" i="18"/>
  <c r="BB39" i="18"/>
  <c r="AP41" i="18"/>
  <c r="AX45" i="18"/>
  <c r="R9" i="14"/>
  <c r="BF22" i="18"/>
  <c r="AQ25" i="18"/>
  <c r="BB43" i="18"/>
  <c r="BA44" i="18"/>
  <c r="AR19" i="18"/>
  <c r="AQ9" i="18"/>
  <c r="AS11" i="18"/>
  <c r="BB13" i="18"/>
  <c r="BE37" i="18"/>
  <c r="AR8" i="18"/>
  <c r="BD16" i="18"/>
  <c r="BE42" i="18"/>
  <c r="BH21" i="18"/>
  <c r="AU50" i="18"/>
  <c r="AS35" i="18"/>
  <c r="AR33" i="18"/>
  <c r="AV43" i="18"/>
  <c r="BH46" i="18"/>
  <c r="R6" i="14"/>
  <c r="BE29" i="18"/>
  <c r="BB34" i="18"/>
  <c r="BH16" i="18"/>
  <c r="AS5" i="18"/>
  <c r="AT26" i="18"/>
  <c r="BB30" i="18"/>
  <c r="AP50" i="18"/>
  <c r="BD40" i="18"/>
  <c r="BF5" i="18"/>
  <c r="AU45" i="18"/>
  <c r="AU38" i="18"/>
  <c r="BE31" i="18"/>
  <c r="BC48" i="18"/>
  <c r="AX35" i="18"/>
  <c r="BE21" i="18"/>
  <c r="AZ40" i="18"/>
  <c r="AT41" i="18"/>
  <c r="AZ11" i="18"/>
  <c r="BH37" i="18"/>
  <c r="AR23" i="18"/>
  <c r="AR13" i="18"/>
  <c r="AS7" i="18"/>
  <c r="BE17" i="18"/>
  <c r="AQ42" i="18"/>
  <c r="BD31" i="18"/>
  <c r="AY42" i="18"/>
  <c r="BB5" i="18"/>
  <c r="AQ13" i="18"/>
  <c r="AV12" i="18"/>
  <c r="AX15" i="18"/>
  <c r="BA8" i="18"/>
  <c r="BE35" i="18"/>
  <c r="AU26" i="18"/>
  <c r="BG36" i="18"/>
  <c r="AU19" i="18"/>
  <c r="BE28" i="18"/>
  <c r="AX24" i="18"/>
  <c r="AR12" i="18"/>
  <c r="AV49" i="18"/>
  <c r="AY36" i="18"/>
  <c r="AT39" i="18"/>
  <c r="BH32" i="18"/>
  <c r="AS49" i="18"/>
  <c r="AU12" i="18"/>
  <c r="AV45" i="18"/>
  <c r="AR18" i="18"/>
  <c r="BC14" i="18"/>
  <c r="BA41" i="18"/>
  <c r="BE43" i="18"/>
  <c r="AV27" i="18"/>
  <c r="AQ19" i="18"/>
  <c r="BC28" i="18"/>
  <c r="BC24" i="18"/>
  <c r="BF15" i="18"/>
  <c r="AY31" i="18"/>
  <c r="AT16" i="18"/>
  <c r="AZ49" i="18"/>
  <c r="AT46" i="18"/>
  <c r="AR25" i="18"/>
  <c r="AX32" i="18"/>
  <c r="AW11" i="18"/>
  <c r="AZ18" i="18"/>
  <c r="BD18" i="18"/>
  <c r="BA48" i="18"/>
  <c r="BH31" i="18"/>
  <c r="AU24" i="18"/>
  <c r="AR27" i="18"/>
  <c r="AQ50" i="18"/>
  <c r="AS41" i="18"/>
  <c r="AT13" i="18"/>
  <c r="BF48" i="18"/>
  <c r="AY21" i="18"/>
  <c r="BA28" i="18"/>
  <c r="AT44" i="18"/>
  <c r="AS43" i="18"/>
  <c r="BF43" i="18"/>
  <c r="AV19" i="18"/>
  <c r="AT12" i="18"/>
  <c r="AT42" i="18"/>
  <c r="AT38" i="18"/>
  <c r="BE32" i="18"/>
  <c r="AP25" i="18"/>
  <c r="AX10" i="18"/>
  <c r="BC29" i="18"/>
  <c r="BC31" i="18"/>
  <c r="BC44" i="18"/>
  <c r="AW49" i="18"/>
  <c r="R20" i="14"/>
  <c r="AS20" i="18"/>
  <c r="AZ24" i="18"/>
  <c r="AQ45" i="18"/>
  <c r="BH29" i="18"/>
  <c r="AS38" i="18"/>
  <c r="AQ39" i="18"/>
  <c r="AQ35" i="18"/>
  <c r="AV17" i="18"/>
  <c r="BD11" i="18"/>
  <c r="BG49" i="18"/>
  <c r="AQ7" i="18"/>
  <c r="AT21" i="18"/>
  <c r="AR44" i="18"/>
  <c r="BF11" i="18"/>
  <c r="R40" i="14"/>
  <c r="AR39" i="18"/>
  <c r="AS26" i="18"/>
  <c r="AT29" i="18"/>
  <c r="R36" i="14"/>
  <c r="AT30" i="18"/>
  <c r="R53" i="14"/>
  <c r="R7" i="14"/>
  <c r="BH38" i="18"/>
  <c r="AW27" i="18"/>
  <c r="AT18" i="18"/>
  <c r="AV41" i="18"/>
  <c r="AZ16" i="18"/>
  <c r="BF16" i="18"/>
  <c r="BD43" i="18"/>
  <c r="AR11" i="18"/>
  <c r="BA30" i="18"/>
  <c r="AQ48" i="18"/>
  <c r="AX46" i="18"/>
  <c r="AV24" i="18"/>
  <c r="BD10" i="18"/>
  <c r="BH49" i="18"/>
  <c r="AP8" i="18"/>
  <c r="BA50" i="18"/>
  <c r="AW22" i="18"/>
  <c r="AP15" i="18"/>
  <c r="AR10" i="18"/>
  <c r="R43" i="14"/>
  <c r="AP18" i="18"/>
  <c r="BG50" i="18"/>
  <c r="AR17" i="18"/>
  <c r="BD49" i="18"/>
  <c r="BH12" i="18"/>
  <c r="AP32" i="18"/>
  <c r="BF50" i="18"/>
  <c r="BE8" i="18"/>
  <c r="AU10" i="18"/>
  <c r="BF17" i="18"/>
  <c r="AW18" i="18"/>
  <c r="AQ32" i="18"/>
  <c r="BG27" i="18"/>
  <c r="AP17" i="18"/>
  <c r="AW29" i="18"/>
  <c r="BB31" i="18"/>
  <c r="AT34" i="18"/>
  <c r="BC36" i="18"/>
  <c r="BH5" i="18"/>
  <c r="R8" i="14"/>
  <c r="BA21" i="18"/>
  <c r="AY40" i="18"/>
  <c r="AX25" i="18"/>
  <c r="BH50" i="18"/>
  <c r="AT24" i="18"/>
  <c r="R41" i="14"/>
  <c r="AQ18" i="18"/>
  <c r="BC17" i="18"/>
  <c r="AX39" i="18"/>
  <c r="AT7" i="18"/>
  <c r="BD48" i="18"/>
  <c r="AU48" i="18"/>
  <c r="AW47" i="18"/>
  <c r="BD19" i="18"/>
  <c r="BF33" i="18"/>
  <c r="BC35" i="18"/>
  <c r="AT35" i="18"/>
  <c r="AQ37" i="18"/>
  <c r="BG10" i="18"/>
  <c r="BD23" i="18"/>
  <c r="AY29" i="18"/>
  <c r="AS18" i="18"/>
  <c r="AP34" i="18"/>
  <c r="AQ49" i="18"/>
  <c r="AT8" i="18"/>
  <c r="AQ8" i="18"/>
  <c r="BE38" i="18"/>
  <c r="AP5" i="18"/>
  <c r="BG34" i="18"/>
  <c r="BH41" i="18"/>
  <c r="AV18" i="18"/>
  <c r="AV22" i="18"/>
  <c r="AS39" i="18"/>
  <c r="BE27" i="18"/>
  <c r="AV40" i="18"/>
  <c r="BE26" i="18"/>
  <c r="AX21" i="18"/>
  <c r="BE5" i="18"/>
  <c r="AQ47" i="18"/>
  <c r="AP10" i="18"/>
  <c r="AR16" i="18"/>
  <c r="R11" i="14"/>
  <c r="R52" i="14"/>
  <c r="AV9" i="18"/>
  <c r="AW33" i="18"/>
  <c r="AX26" i="18"/>
  <c r="BD14" i="18"/>
  <c r="AR30" i="18"/>
  <c r="AT17" i="18"/>
  <c r="AT10" i="18"/>
  <c r="R25" i="14"/>
  <c r="AS12" i="18"/>
  <c r="BF13" i="18"/>
  <c r="AQ21" i="18"/>
  <c r="BB28" i="18"/>
  <c r="BB48" i="18"/>
  <c r="AS10" i="18"/>
  <c r="AY17" i="18"/>
  <c r="AR31" i="18"/>
  <c r="AV44" i="18"/>
  <c r="AR24" i="18"/>
  <c r="AY16" i="18"/>
  <c r="AU7" i="18"/>
  <c r="AU17" i="18"/>
  <c r="BE18" i="18"/>
  <c r="AZ34" i="18"/>
  <c r="AX11" i="18"/>
  <c r="AX23" i="18"/>
  <c r="BG33" i="18"/>
  <c r="AY34" i="18"/>
  <c r="BC25" i="18"/>
  <c r="BH43" i="18"/>
  <c r="AV31" i="18"/>
  <c r="BD33" i="18"/>
  <c r="AU23" i="18"/>
  <c r="AP24" i="18"/>
  <c r="AU22" i="18"/>
  <c r="BE33" i="18"/>
  <c r="AW48" i="18"/>
  <c r="AY32" i="18"/>
  <c r="AS31" i="18"/>
  <c r="BG20" i="18"/>
  <c r="R27" i="14"/>
  <c r="AY37" i="18"/>
  <c r="BF40" i="18"/>
  <c r="BG18" i="18"/>
  <c r="BA25" i="18"/>
  <c r="AR5" i="18"/>
  <c r="AP30" i="18"/>
  <c r="AX42" i="18"/>
  <c r="AS32" i="18"/>
  <c r="AY45" i="18"/>
  <c r="AR46" i="18"/>
  <c r="BE22" i="18"/>
  <c r="AV14" i="18"/>
  <c r="BG8" i="18"/>
  <c r="R45" i="14"/>
  <c r="AQ22" i="18"/>
  <c r="AU49" i="18"/>
  <c r="BG13" i="18"/>
  <c r="BC41" i="18"/>
  <c r="BC38" i="18"/>
  <c r="AV38" i="18"/>
  <c r="R51" i="14"/>
  <c r="AS42" i="18"/>
  <c r="AP14" i="18"/>
  <c r="AQ10" i="18"/>
  <c r="BB42" i="18"/>
  <c r="BG17" i="18"/>
  <c r="AT11" i="18"/>
  <c r="BH26" i="18"/>
  <c r="BE25" i="18"/>
  <c r="AW20" i="18"/>
  <c r="BG31" i="18"/>
  <c r="AZ48" i="18"/>
  <c r="BA17" i="18"/>
  <c r="AV33" i="18"/>
  <c r="AY10" i="18"/>
  <c r="BE16" i="18"/>
  <c r="R32" i="14"/>
  <c r="AT15" i="18"/>
  <c r="AZ28" i="18"/>
  <c r="AV37" i="18"/>
  <c r="AQ31" i="18"/>
  <c r="BC49" i="18"/>
  <c r="BF44" i="18"/>
  <c r="AP29" i="18"/>
  <c r="BC50" i="18"/>
  <c r="AV30" i="18"/>
  <c r="BD30" i="18"/>
  <c r="AX31" i="18"/>
  <c r="AY48" i="18"/>
  <c r="AZ5" i="18"/>
  <c r="AX17" i="18"/>
  <c r="BG19" i="18"/>
  <c r="R10" i="14"/>
  <c r="AX44" i="18"/>
  <c r="AV35" i="18"/>
  <c r="AY39" i="18"/>
  <c r="AQ30" i="18"/>
  <c r="BG39" i="18"/>
  <c r="AQ11" i="18"/>
  <c r="BG30" i="18"/>
  <c r="AQ34" i="18"/>
  <c r="R19" i="14"/>
  <c r="AQ15" i="18"/>
  <c r="AX33" i="18"/>
  <c r="AV23" i="18"/>
  <c r="BF38" i="18"/>
  <c r="AQ36" i="18"/>
  <c r="AW30" i="18"/>
  <c r="BB45" i="18"/>
  <c r="AQ38" i="18"/>
  <c r="AR32" i="18"/>
  <c r="BF46" i="18"/>
  <c r="R21" i="14"/>
  <c r="BB40" i="18"/>
  <c r="AP39" i="18"/>
  <c r="AU14" i="18"/>
  <c r="AU36" i="18"/>
  <c r="BB23" i="18"/>
  <c r="BH27" i="18"/>
  <c r="AP38" i="18"/>
  <c r="BF28" i="18"/>
  <c r="AS15" i="18"/>
  <c r="AU44" i="18"/>
  <c r="BB38" i="18"/>
  <c r="AZ32" i="18"/>
  <c r="AW34" i="18"/>
  <c r="AT33" i="18"/>
  <c r="BC5" i="18"/>
  <c r="BE45" i="18"/>
  <c r="BC39" i="18"/>
  <c r="AT49" i="18"/>
  <c r="BE46" i="18"/>
  <c r="AT22" i="18"/>
  <c r="AZ27" i="18"/>
  <c r="BB17" i="18"/>
  <c r="AS16" i="18"/>
  <c r="AX20" i="18"/>
  <c r="AQ20" i="18"/>
  <c r="AU20" i="18"/>
  <c r="BE14" i="18"/>
  <c r="BA23" i="18"/>
  <c r="BC7" i="18"/>
  <c r="AZ13" i="18"/>
  <c r="AS50" i="18"/>
  <c r="BC46" i="18"/>
  <c r="AR21" i="18"/>
  <c r="AZ20" i="18"/>
  <c r="AR40" i="18"/>
  <c r="R42" i="14"/>
  <c r="AU42" i="18"/>
  <c r="R44" i="14"/>
  <c r="BB36" i="18"/>
  <c r="R30" i="14"/>
  <c r="AW40" i="18"/>
  <c r="AY28" i="18"/>
  <c r="AY24" i="18"/>
  <c r="BF27" i="18"/>
  <c r="BA37" i="18"/>
  <c r="BA31" i="18"/>
  <c r="AV13" i="18"/>
  <c r="AU25" i="18"/>
  <c r="R18" i="14"/>
  <c r="BA22" i="18"/>
  <c r="AT45" i="18"/>
  <c r="BC13" i="18"/>
  <c r="BD36" i="18"/>
  <c r="BD17" i="18"/>
  <c r="BH14" i="18"/>
  <c r="BD45" i="18"/>
  <c r="R48" i="14"/>
  <c r="AQ16" i="18"/>
  <c r="BE7" i="18"/>
  <c r="AP20" i="18"/>
  <c r="AP23" i="18"/>
  <c r="AV26" i="18"/>
  <c r="AV21" i="18"/>
  <c r="AZ35" i="18"/>
  <c r="AV7" i="18"/>
  <c r="BF47" i="18"/>
  <c r="AX36" i="18"/>
  <c r="AP11" i="18"/>
  <c r="AR7" i="18"/>
  <c r="BE19" i="18"/>
  <c r="BE48" i="18"/>
  <c r="BG16" i="18"/>
  <c r="R12" i="14"/>
  <c r="BF30" i="18"/>
  <c r="AS40" i="18"/>
  <c r="BF32" i="18"/>
  <c r="AV48" i="18"/>
  <c r="BB50" i="18"/>
  <c r="BF42" i="18"/>
  <c r="BA46" i="18"/>
  <c r="AR36" i="18"/>
  <c r="AW32" i="18"/>
  <c r="BE40" i="18"/>
  <c r="AU33" i="18"/>
  <c r="BF37" i="18"/>
  <c r="AU46" i="18"/>
  <c r="BC8" i="18"/>
  <c r="BD29" i="18"/>
  <c r="AY9" i="18"/>
  <c r="AY30" i="18"/>
  <c r="AT48" i="18"/>
  <c r="BA43" i="18"/>
  <c r="BC30" i="18"/>
  <c r="BH45" i="18"/>
  <c r="AV32" i="18"/>
  <c r="AW36" i="18"/>
  <c r="AX30" i="18"/>
  <c r="AU28" i="18"/>
  <c r="BB25" i="18"/>
  <c r="BE50" i="18"/>
  <c r="BB44" i="18"/>
  <c r="AU47" i="18"/>
  <c r="AX29" i="18"/>
  <c r="BC9" i="18"/>
  <c r="AW8" i="18"/>
  <c r="AU39" i="18"/>
  <c r="AX40" i="18"/>
  <c r="BD34" i="18"/>
  <c r="AU43" i="18"/>
  <c r="AX37" i="18"/>
  <c r="AU37" i="18"/>
  <c r="AU21" i="18"/>
  <c r="AR26" i="18"/>
  <c r="AY49" i="18"/>
  <c r="AR50" i="18"/>
  <c r="BB29" i="18"/>
  <c r="BC15" i="18"/>
  <c r="BH34" i="18"/>
  <c r="AY35" i="18"/>
  <c r="AS46" i="18"/>
  <c r="BC20" i="18"/>
  <c r="BD27" i="18"/>
  <c r="BG5" i="18"/>
  <c r="BF10" i="18"/>
  <c r="R17" i="14"/>
  <c r="AV5" i="18"/>
  <c r="AU41" i="18"/>
  <c r="BC40" i="18"/>
  <c r="AQ43" i="18"/>
  <c r="AZ12" i="18"/>
  <c r="AU32" i="18"/>
  <c r="AZ15" i="18"/>
  <c r="R39" i="14"/>
  <c r="BF20" i="18"/>
  <c r="BA36" i="18"/>
  <c r="BG24" i="18"/>
  <c r="AP47" i="18"/>
  <c r="BF23" i="18"/>
  <c r="AS25" i="18"/>
  <c r="AY25" i="18"/>
  <c r="BB20" i="18"/>
  <c r="BH42" i="18"/>
  <c r="BE15" i="18"/>
  <c r="BE23" i="18"/>
  <c r="AX50" i="18"/>
  <c r="R50" i="14"/>
  <c r="AP9" i="18"/>
  <c r="BC47" i="18"/>
  <c r="AZ41" i="18"/>
  <c r="R22" i="14"/>
  <c r="BC33" i="18"/>
  <c r="AT50" i="18"/>
  <c r="AZ9" i="18"/>
  <c r="AX38" i="18"/>
  <c r="BB21" i="18"/>
  <c r="AS28" i="18"/>
  <c r="BG7" i="18"/>
  <c r="AQ29" i="18"/>
  <c r="AS44" i="18"/>
  <c r="AY15" i="18"/>
  <c r="AR48" i="18"/>
  <c r="BC26" i="18"/>
  <c r="BH30" i="18"/>
  <c r="BB12" i="18"/>
  <c r="AY38" i="18"/>
  <c r="AR28" i="18"/>
  <c r="AV10" i="18"/>
  <c r="AR35" i="18"/>
  <c r="BH13" i="18"/>
  <c r="BF26" i="18"/>
  <c r="AZ44" i="18"/>
  <c r="BG28" i="18"/>
  <c r="BB14" i="18"/>
  <c r="AP44" i="18"/>
  <c r="BH33" i="18"/>
  <c r="BA24" i="18"/>
  <c r="BG25" i="18"/>
  <c r="BE34" i="18"/>
  <c r="BD35" i="18"/>
  <c r="BC34" i="18"/>
  <c r="AX48" i="18"/>
  <c r="AS17" i="18"/>
  <c r="AT47" i="18"/>
  <c r="AX7" i="18"/>
  <c r="AV50" i="18"/>
  <c r="BG14" i="18"/>
  <c r="BF14" i="18"/>
  <c r="AY14" i="18"/>
  <c r="BE20" i="18"/>
  <c r="AP19" i="18"/>
  <c r="AR38" i="18"/>
  <c r="AR15" i="18"/>
  <c r="AW5" i="18"/>
  <c r="AV15" i="18"/>
  <c r="AW37" i="18"/>
  <c r="AT23" i="18"/>
  <c r="BH48" i="18"/>
  <c r="BB47" i="18"/>
  <c r="AS34" i="18"/>
  <c r="R28" i="14"/>
  <c r="BD21" i="18"/>
  <c r="R35" i="14"/>
  <c r="R37" i="14"/>
  <c r="BH28" i="18"/>
  <c r="BH17" i="18"/>
  <c r="AY46" i="18"/>
  <c r="BF9" i="18"/>
  <c r="AX16" i="18"/>
  <c r="AY26" i="18"/>
  <c r="AV20" i="18"/>
  <c r="BD44" i="18"/>
  <c r="AW10" i="18"/>
  <c r="AX34" i="18"/>
  <c r="AZ26" i="18"/>
  <c r="AU11" i="18"/>
  <c r="BB49" i="18"/>
  <c r="AY22" i="18"/>
  <c r="AW19" i="18"/>
  <c r="BD7" i="18"/>
  <c r="BG43" i="18"/>
  <c r="BA45" i="18"/>
  <c r="BC27" i="18"/>
  <c r="AW9" i="18"/>
  <c r="AU27" i="18"/>
  <c r="AS13" i="18"/>
  <c r="BH20" i="18"/>
  <c r="BD28" i="18"/>
  <c r="AY44" i="18"/>
  <c r="BD41" i="18"/>
  <c r="AU18" i="18"/>
  <c r="BA26" i="18"/>
  <c r="BG42" i="18"/>
  <c r="BD26" i="18"/>
  <c r="BB7" i="18"/>
  <c r="AQ27" i="18"/>
  <c r="BE49" i="18"/>
  <c r="BC22" i="18"/>
  <c r="AU16" i="18"/>
  <c r="AT25" i="18"/>
  <c r="AY50" i="18"/>
  <c r="AV29" i="18"/>
  <c r="BG40" i="18"/>
  <c r="AV8" i="18"/>
  <c r="BB37" i="18"/>
  <c r="BG12" i="18"/>
  <c r="AQ33" i="18"/>
  <c r="AT28" i="18"/>
  <c r="BE13" i="18"/>
  <c r="AW13" i="18"/>
  <c r="BC16" i="18"/>
  <c r="BF21" i="18"/>
  <c r="AZ8" i="18"/>
  <c r="AW14" i="18"/>
  <c r="AZ46" i="18"/>
  <c r="BC42" i="18"/>
  <c r="BB35" i="18"/>
  <c r="BG45" i="18"/>
  <c r="AZ23" i="18"/>
  <c r="AW35" i="18"/>
  <c r="AP31" i="18"/>
  <c r="AQ26" i="18"/>
  <c r="AX49" i="18"/>
  <c r="AW21" i="18"/>
  <c r="BA35" i="18"/>
  <c r="AQ44" i="18"/>
  <c r="BH35" i="18"/>
  <c r="BG21" i="18"/>
  <c r="AY20" i="18"/>
  <c r="BA33" i="18"/>
  <c r="AW25" i="18"/>
  <c r="AR49" i="18"/>
  <c r="AR20" i="18"/>
  <c r="AS33" i="18"/>
  <c r="AP12" i="18"/>
  <c r="AW15" i="18"/>
  <c r="AW50" i="18"/>
  <c r="BD37" i="18"/>
  <c r="BD25" i="18"/>
  <c r="BD5" i="18"/>
  <c r="BA39" i="18"/>
  <c r="AV25" i="18"/>
  <c r="R38" i="14"/>
  <c r="AS9" i="18"/>
  <c r="AZ19" i="18"/>
  <c r="AW42" i="18"/>
  <c r="BH7" i="18"/>
  <c r="AS48" i="18"/>
  <c r="AW16" i="18"/>
  <c r="AT20" i="18"/>
  <c r="BF45" i="18"/>
  <c r="BA38" i="18"/>
  <c r="AZ50" i="18"/>
  <c r="AX28" i="18"/>
  <c r="AS30" i="18"/>
  <c r="BG41" i="18"/>
  <c r="AU9" i="18"/>
  <c r="AR29" i="18"/>
  <c r="AU34" i="18"/>
  <c r="BF39" i="18"/>
  <c r="BA10" i="18"/>
  <c r="BG38" i="18"/>
  <c r="BD22" i="18"/>
  <c r="BF49" i="18"/>
  <c r="BF41" i="18"/>
  <c r="BE24" i="18"/>
  <c r="BD38" i="18"/>
  <c r="AZ21" i="18"/>
  <c r="AU29" i="18"/>
  <c r="BD12" i="18"/>
  <c r="BF19" i="18"/>
  <c r="AP13" i="18"/>
  <c r="AQ5" i="18"/>
  <c r="AQ17" i="18"/>
  <c r="AP7" i="18"/>
  <c r="AP37" i="18"/>
  <c r="AX13" i="18"/>
  <c r="BE11" i="18"/>
  <c r="BC37" i="18"/>
  <c r="BC45" i="18"/>
  <c r="AZ33" i="18"/>
  <c r="AQ28" i="18"/>
  <c r="BH10" i="18"/>
  <c r="BB8" i="18"/>
  <c r="BB32" i="18"/>
  <c r="R13" i="14"/>
  <c r="AP22" i="18"/>
  <c r="BA12" i="18"/>
  <c r="AP27" i="18"/>
  <c r="AW24" i="18"/>
  <c r="R34" i="14"/>
  <c r="AU13" i="18"/>
  <c r="BA11" i="18"/>
  <c r="BB27" i="18"/>
  <c r="BB24" i="18"/>
  <c r="AQ12" i="18"/>
  <c r="BA34" i="18"/>
  <c r="AS45" i="18"/>
  <c r="BF18" i="18"/>
  <c r="BB41" i="18"/>
  <c r="AQ41" i="18"/>
  <c r="AV47" i="18"/>
  <c r="AY23" i="18"/>
  <c r="BD8" i="18"/>
  <c r="BG9" i="18"/>
  <c r="BA42" i="18"/>
  <c r="BH24" i="18"/>
  <c r="R33" i="14"/>
  <c r="BC10" i="18"/>
  <c r="R31" i="14"/>
  <c r="BC43" i="18"/>
  <c r="AU5" i="18"/>
  <c r="AX47" i="18"/>
  <c r="AT31" i="18"/>
  <c r="AR37" i="18"/>
  <c r="AZ30" i="18"/>
  <c r="BB26" i="18"/>
  <c r="AY5" i="18"/>
  <c r="AY11" i="18"/>
  <c r="R49" i="14"/>
  <c r="R47" i="14"/>
  <c r="BB16" i="18"/>
  <c r="BC19" i="18"/>
  <c r="AU30" i="18"/>
  <c r="BG46" i="18"/>
  <c r="AT37" i="18"/>
  <c r="AQ24" i="18"/>
  <c r="AU40" i="18"/>
  <c r="BA40" i="18"/>
  <c r="BF36" i="18"/>
  <c r="BA14" i="18"/>
  <c r="AR14" i="18"/>
  <c r="AP45" i="18"/>
  <c r="AP43" i="18"/>
  <c r="BD39" i="18"/>
  <c r="BF24" i="18"/>
  <c r="BC11" i="18"/>
  <c r="AV39" i="18"/>
  <c r="BF12" i="18"/>
  <c r="AS47" i="18"/>
  <c r="BD24" i="18"/>
  <c r="BH9" i="18"/>
  <c r="AZ14" i="18"/>
  <c r="AP26" i="18"/>
  <c r="AZ29" i="18"/>
  <c r="BF25" i="18"/>
  <c r="BA32" i="18"/>
  <c r="AZ45" i="18"/>
  <c r="AY47" i="18"/>
  <c r="BD32" i="18"/>
  <c r="AW44" i="18"/>
  <c r="AS23" i="18"/>
  <c r="AW26" i="18"/>
  <c r="BG29" i="18"/>
  <c r="AS37" i="18"/>
  <c r="R29" i="14"/>
  <c r="AT32" i="18"/>
  <c r="AT14" i="18"/>
  <c r="BD47" i="18"/>
  <c r="AT9" i="18"/>
  <c r="AX41" i="18"/>
  <c r="AT36" i="18"/>
  <c r="AR9" i="18"/>
  <c r="AP35" i="18"/>
  <c r="BH8" i="18"/>
  <c r="BA19" i="18"/>
  <c r="BG23" i="18"/>
  <c r="AW17" i="18"/>
  <c r="BB15" i="18"/>
  <c r="BG35" i="18"/>
  <c r="AX9" i="18"/>
  <c r="BE10" i="18"/>
  <c r="BG44" i="18"/>
  <c r="AP21" i="18"/>
  <c r="AT40" i="18"/>
  <c r="AX22" i="18"/>
  <c r="BA20" i="18"/>
  <c r="BE41" i="18"/>
  <c r="AQ23" i="18"/>
  <c r="BD42" i="18"/>
  <c r="AS29" i="18"/>
  <c r="AR41" i="18"/>
  <c r="AZ43" i="18"/>
  <c r="BH22" i="18"/>
  <c r="BA29" i="18"/>
  <c r="R54" i="14"/>
  <c r="BE30" i="18"/>
  <c r="BF29" i="18"/>
  <c r="BB10" i="18"/>
  <c r="BC18" i="18"/>
  <c r="BH25" i="18"/>
  <c r="AV36" i="18"/>
  <c r="BC23" i="18"/>
  <c r="AS19" i="18"/>
  <c r="BH40" i="18"/>
  <c r="AW41" i="18"/>
  <c r="AR47" i="18"/>
  <c r="AZ47" i="18"/>
  <c r="AX5" i="18"/>
  <c r="BG26" i="18"/>
  <c r="AZ25" i="18"/>
  <c r="AZ39" i="18"/>
  <c r="AP40" i="18"/>
  <c r="BA7" i="18"/>
  <c r="BB33" i="18"/>
  <c r="AS36" i="18"/>
  <c r="BH44" i="18"/>
  <c r="BH11" i="18"/>
  <c r="R14" i="14"/>
  <c r="BG48" i="18"/>
  <c r="R23" i="14"/>
  <c r="AY43" i="18"/>
  <c r="AP33" i="18"/>
  <c r="BA5" i="18"/>
  <c r="BF7" i="18"/>
  <c r="R26" i="14"/>
  <c r="AT43" i="18"/>
  <c r="BE44" i="18"/>
  <c r="AY8" i="18"/>
  <c r="R5" i="14"/>
  <c r="AY41" i="18"/>
  <c r="AR42" i="18"/>
  <c r="AT27" i="18"/>
  <c r="AV28" i="18"/>
  <c r="AZ10" i="18"/>
  <c r="BB11" i="18"/>
  <c r="BF31" i="18"/>
  <c r="BD46" i="18"/>
  <c r="BH23" i="18"/>
  <c r="AQ14" i="18"/>
  <c r="AP16" i="18"/>
  <c r="AT5" i="18"/>
  <c r="BD13" i="18"/>
  <c r="H20" i="18"/>
  <c r="K19" i="18"/>
  <c r="A20" i="2" s="1"/>
  <c r="H19" i="5"/>
  <c r="G30" i="5"/>
  <c r="G43" i="5"/>
  <c r="H53" i="5"/>
  <c r="G50" i="5"/>
  <c r="G42" i="5"/>
  <c r="G33" i="5"/>
  <c r="H33" i="5"/>
  <c r="H38" i="5"/>
  <c r="G31" i="5"/>
  <c r="H57" i="5"/>
  <c r="G27" i="5"/>
  <c r="H16" i="5"/>
  <c r="H55" i="5"/>
  <c r="H47" i="5"/>
  <c r="G28" i="5"/>
  <c r="K54" i="4"/>
  <c r="V54" i="4" s="1"/>
  <c r="K50" i="4"/>
  <c r="V50" i="4" s="1"/>
  <c r="K46" i="4"/>
  <c r="V46" i="4" s="1"/>
  <c r="K40" i="4"/>
  <c r="V40" i="4" s="1"/>
  <c r="K36" i="4"/>
  <c r="V36" i="4" s="1"/>
  <c r="K30" i="4"/>
  <c r="V30" i="4" s="1"/>
  <c r="K56" i="4"/>
  <c r="V56" i="4" s="1"/>
  <c r="K52" i="4"/>
  <c r="V52" i="4" s="1"/>
  <c r="K48" i="4"/>
  <c r="V48" i="4" s="1"/>
  <c r="K44" i="4"/>
  <c r="V44" i="4" s="1"/>
  <c r="K42" i="4"/>
  <c r="V42" i="4" s="1"/>
  <c r="K38" i="4"/>
  <c r="V38" i="4" s="1"/>
  <c r="K34" i="4"/>
  <c r="V34" i="4" s="1"/>
  <c r="K32" i="4"/>
  <c r="V32" i="4" s="1"/>
  <c r="K28" i="4"/>
  <c r="V28" i="4" s="1"/>
  <c r="K26" i="4"/>
  <c r="V26" i="4" s="1"/>
  <c r="K24" i="4"/>
  <c r="V24" i="4" s="1"/>
  <c r="K55" i="4"/>
  <c r="V55" i="4" s="1"/>
  <c r="K49" i="4"/>
  <c r="V49" i="4" s="1"/>
  <c r="K45" i="4"/>
  <c r="V45" i="4" s="1"/>
  <c r="K39" i="4"/>
  <c r="V39" i="4" s="1"/>
  <c r="K35" i="4"/>
  <c r="V35" i="4" s="1"/>
  <c r="K31" i="4"/>
  <c r="V31" i="4" s="1"/>
  <c r="K27" i="4"/>
  <c r="V27" i="4" s="1"/>
  <c r="K53" i="4"/>
  <c r="V53" i="4" s="1"/>
  <c r="K47" i="4"/>
  <c r="V47" i="4" s="1"/>
  <c r="K43" i="4"/>
  <c r="V43" i="4" s="1"/>
  <c r="K37" i="4"/>
  <c r="V37" i="4" s="1"/>
  <c r="K33" i="4"/>
  <c r="V33" i="4" s="1"/>
  <c r="K29" i="4"/>
  <c r="V29" i="4" s="1"/>
  <c r="K25" i="4"/>
  <c r="V25" i="4" s="1"/>
  <c r="K23" i="4"/>
  <c r="V23" i="4" s="1"/>
  <c r="K57" i="4"/>
  <c r="V57" i="4" s="1"/>
  <c r="K51" i="4"/>
  <c r="V51" i="4" s="1"/>
  <c r="K41" i="4"/>
  <c r="V41" i="4" s="1"/>
  <c r="H49" i="5"/>
  <c r="H41" i="5"/>
  <c r="H28" i="5"/>
  <c r="H51" i="5"/>
  <c r="H43" i="5"/>
  <c r="H35" i="5"/>
  <c r="H30" i="5"/>
  <c r="H22" i="5"/>
  <c r="H45" i="5"/>
  <c r="H37" i="5"/>
  <c r="H32" i="5"/>
  <c r="H24" i="5"/>
  <c r="H50" i="5"/>
  <c r="H42" i="5"/>
  <c r="H29" i="5"/>
  <c r="H21" i="5"/>
  <c r="H13" i="5"/>
  <c r="H56" i="5"/>
  <c r="H11" i="5"/>
  <c r="H39" i="5"/>
  <c r="H34" i="5"/>
  <c r="H26" i="5"/>
  <c r="H48" i="5"/>
  <c r="H40" i="5"/>
  <c r="H27" i="5"/>
  <c r="H52" i="5"/>
  <c r="H44" i="5"/>
  <c r="H36" i="5"/>
  <c r="H31" i="5"/>
  <c r="H23" i="5"/>
  <c r="H12" i="5"/>
  <c r="H54" i="5"/>
  <c r="H46" i="5"/>
  <c r="H25" i="5"/>
  <c r="T19" i="18"/>
  <c r="V10" i="6"/>
  <c r="V15" i="6"/>
  <c r="AG15" i="6" s="1"/>
  <c r="H21" i="18" l="1"/>
  <c r="K20" i="18"/>
  <c r="A21" i="2" s="1"/>
  <c r="AK15" i="6"/>
  <c r="G25" i="5"/>
  <c r="G57" i="5"/>
  <c r="G29" i="5"/>
  <c r="G24" i="5"/>
  <c r="G56" i="5"/>
  <c r="G36" i="5"/>
  <c r="G21" i="5"/>
  <c r="G38" i="5"/>
  <c r="G55" i="5"/>
  <c r="G20" i="5"/>
  <c r="G39" i="5"/>
  <c r="G37" i="5"/>
  <c r="G22" i="5"/>
  <c r="G26" i="5"/>
  <c r="G9" i="5"/>
  <c r="G32" i="5"/>
  <c r="G44" i="5"/>
  <c r="G35" i="5"/>
  <c r="G47" i="5"/>
  <c r="G41" i="5"/>
  <c r="G51" i="5"/>
  <c r="G16" i="5"/>
  <c r="G40" i="5"/>
  <c r="G18" i="5"/>
  <c r="G10" i="5"/>
  <c r="G19" i="5"/>
  <c r="G12" i="5"/>
  <c r="G46" i="5"/>
  <c r="G45" i="5"/>
  <c r="G54" i="5"/>
  <c r="G11" i="5"/>
  <c r="G52" i="5"/>
  <c r="G53" i="5"/>
  <c r="G23" i="5"/>
  <c r="G49" i="5"/>
  <c r="G34" i="5"/>
  <c r="G13" i="5"/>
  <c r="G48" i="5"/>
  <c r="G15" i="5"/>
  <c r="V12" i="6"/>
  <c r="T20" i="18"/>
  <c r="K2" i="6" a="1"/>
  <c r="K2" i="6" s="1"/>
  <c r="K3" i="4" a="1"/>
  <c r="K3" i="4" s="1"/>
  <c r="N6" i="3" s="1"/>
  <c r="I4" i="5" a="1"/>
  <c r="I4" i="5" s="1"/>
  <c r="M8" i="4"/>
  <c r="H22" i="18" l="1"/>
  <c r="K21" i="18"/>
  <c r="A22" i="2" s="1"/>
  <c r="T21" i="18"/>
  <c r="P8" i="4"/>
  <c r="AQ8" i="4"/>
  <c r="A27" i="1"/>
  <c r="A26" i="1"/>
  <c r="H23" i="18" l="1"/>
  <c r="K22" i="18"/>
  <c r="A23" i="2" s="1"/>
  <c r="T22" i="18"/>
  <c r="C13" i="9"/>
  <c r="H6" i="9"/>
  <c r="F10" i="17"/>
  <c r="F13" i="10"/>
  <c r="F14" i="10"/>
  <c r="F15" i="10"/>
  <c r="H15" i="10"/>
  <c r="H24" i="18" l="1"/>
  <c r="K23" i="18"/>
  <c r="A24" i="2" s="1"/>
  <c r="T23" i="18"/>
  <c r="E35" i="14"/>
  <c r="E155" i="14" s="1"/>
  <c r="F12" i="15"/>
  <c r="G6" i="9"/>
  <c r="H25" i="18" l="1"/>
  <c r="K24" i="18"/>
  <c r="A25" i="2" s="1"/>
  <c r="E36" i="14"/>
  <c r="E195" i="14"/>
  <c r="T24" i="18"/>
  <c r="E156" i="14"/>
  <c r="E196" i="14"/>
  <c r="H26" i="18" l="1"/>
  <c r="K25" i="18"/>
  <c r="A26" i="2" s="1"/>
  <c r="T25" i="18"/>
  <c r="H27" i="18" l="1"/>
  <c r="K26" i="18"/>
  <c r="A27" i="2" s="1"/>
  <c r="T26" i="18"/>
  <c r="A12" i="17"/>
  <c r="H28" i="18" l="1"/>
  <c r="K27" i="18"/>
  <c r="A28" i="2" s="1"/>
  <c r="T27" i="18"/>
  <c r="A5" i="17"/>
  <c r="A4" i="17"/>
  <c r="A3" i="17"/>
  <c r="A13" i="15"/>
  <c r="K28" i="18" l="1"/>
  <c r="A29" i="2" s="1"/>
  <c r="H29" i="18"/>
  <c r="T28" i="18"/>
  <c r="Y53" i="8"/>
  <c r="Y51" i="8"/>
  <c r="Y49" i="8"/>
  <c r="Y47" i="8"/>
  <c r="Y45" i="8"/>
  <c r="Y43" i="8"/>
  <c r="Y41" i="8"/>
  <c r="Y39" i="8"/>
  <c r="Y37" i="8"/>
  <c r="Y35" i="8"/>
  <c r="Y33" i="8"/>
  <c r="Y31" i="8"/>
  <c r="Y29" i="8"/>
  <c r="Y27" i="8"/>
  <c r="Y25" i="8"/>
  <c r="Y23" i="8"/>
  <c r="Y21" i="8"/>
  <c r="Y19" i="8"/>
  <c r="Y17" i="8"/>
  <c r="Y15" i="8"/>
  <c r="H30" i="18" l="1"/>
  <c r="K29" i="18"/>
  <c r="A30" i="2" s="1"/>
  <c r="T29" i="18"/>
  <c r="F11" i="10"/>
  <c r="H11" i="10"/>
  <c r="G11" i="10"/>
  <c r="H31" i="18" l="1"/>
  <c r="K30" i="18"/>
  <c r="A31" i="2" s="1"/>
  <c r="T30" i="18"/>
  <c r="A23" i="1"/>
  <c r="H32" i="18" l="1"/>
  <c r="K31" i="18"/>
  <c r="A32" i="2" s="1"/>
  <c r="T31" i="18"/>
  <c r="A1" i="1"/>
  <c r="A1" i="5" s="1"/>
  <c r="H33" i="18" l="1"/>
  <c r="K32" i="18"/>
  <c r="A33" i="2" s="1"/>
  <c r="T32" i="18"/>
  <c r="A1" i="6"/>
  <c r="A1" i="8"/>
  <c r="A1" i="3"/>
  <c r="A1" i="4"/>
  <c r="C14" i="9"/>
  <c r="H22" i="3"/>
  <c r="Q5" i="8"/>
  <c r="A8" i="8"/>
  <c r="H34" i="18" l="1"/>
  <c r="K33" i="18"/>
  <c r="A34" i="2" s="1"/>
  <c r="T33" i="18"/>
  <c r="A5" i="15"/>
  <c r="A4" i="15"/>
  <c r="H35" i="18" l="1"/>
  <c r="K34" i="18"/>
  <c r="A35" i="2" s="1"/>
  <c r="T34" i="18"/>
  <c r="AX16" i="8"/>
  <c r="AX17" i="8"/>
  <c r="AX18" i="8"/>
  <c r="AX19" i="8"/>
  <c r="AX20" i="8"/>
  <c r="AX21" i="8"/>
  <c r="AX22" i="8"/>
  <c r="AX23" i="8"/>
  <c r="AX24" i="8"/>
  <c r="AX25" i="8"/>
  <c r="AX26" i="8"/>
  <c r="AX27" i="8"/>
  <c r="AX28" i="8"/>
  <c r="AX29" i="8"/>
  <c r="AX30" i="8"/>
  <c r="AX31" i="8"/>
  <c r="AX32" i="8"/>
  <c r="AX33" i="8"/>
  <c r="AX34" i="8"/>
  <c r="AX35" i="8"/>
  <c r="AX36" i="8"/>
  <c r="AX37" i="8"/>
  <c r="AX38" i="8"/>
  <c r="AX39" i="8"/>
  <c r="AX40" i="8"/>
  <c r="AX41" i="8"/>
  <c r="AX42" i="8"/>
  <c r="AX43" i="8"/>
  <c r="AX44" i="8"/>
  <c r="AX45" i="8"/>
  <c r="AX46" i="8"/>
  <c r="AX47" i="8"/>
  <c r="AX48" i="8"/>
  <c r="AX49" i="8"/>
  <c r="AX50" i="8"/>
  <c r="AX51" i="8"/>
  <c r="AX52" i="8"/>
  <c r="AX53" i="8"/>
  <c r="AX54" i="8"/>
  <c r="AX15" i="8"/>
  <c r="O53" i="8"/>
  <c r="O51" i="8"/>
  <c r="O49" i="8"/>
  <c r="O47" i="8"/>
  <c r="O45" i="8"/>
  <c r="O43" i="8"/>
  <c r="O41" i="8"/>
  <c r="O39" i="8"/>
  <c r="O37" i="8"/>
  <c r="O35" i="8"/>
  <c r="O33" i="8"/>
  <c r="O31" i="8"/>
  <c r="O29" i="8"/>
  <c r="O27" i="8"/>
  <c r="O25" i="8"/>
  <c r="O23" i="8"/>
  <c r="H36" i="18" l="1"/>
  <c r="K35" i="18"/>
  <c r="A36" i="2" s="1"/>
  <c r="T35" i="18"/>
  <c r="A1" i="9"/>
  <c r="A1" i="2"/>
  <c r="H37" i="18" l="1"/>
  <c r="K36" i="18"/>
  <c r="A37" i="2" s="1"/>
  <c r="T36" i="18"/>
  <c r="H38" i="18" l="1"/>
  <c r="K37" i="18"/>
  <c r="A38" i="2" s="1"/>
  <c r="T37" i="18"/>
  <c r="K80" i="14"/>
  <c r="K120" i="14"/>
  <c r="K40" i="14"/>
  <c r="I22" i="3"/>
  <c r="O6" i="3" s="1"/>
  <c r="I4" i="6"/>
  <c r="BI16" i="8"/>
  <c r="BI17" i="8"/>
  <c r="BI18" i="8"/>
  <c r="BI19" i="8"/>
  <c r="BI20" i="8"/>
  <c r="BI21" i="8"/>
  <c r="BI22" i="8"/>
  <c r="BI23" i="8"/>
  <c r="BI24" i="8"/>
  <c r="BI25" i="8"/>
  <c r="BI26" i="8"/>
  <c r="BI27" i="8"/>
  <c r="BI28" i="8"/>
  <c r="BI29" i="8"/>
  <c r="BI30" i="8"/>
  <c r="BI31" i="8"/>
  <c r="BI32" i="8"/>
  <c r="BI33" i="8"/>
  <c r="BI34" i="8"/>
  <c r="BI35" i="8"/>
  <c r="BI36" i="8"/>
  <c r="BI37" i="8"/>
  <c r="BI38" i="8"/>
  <c r="BI39" i="8"/>
  <c r="BI40" i="8"/>
  <c r="BI41" i="8"/>
  <c r="BI42" i="8"/>
  <c r="BI43" i="8"/>
  <c r="BI44" i="8"/>
  <c r="BI45" i="8"/>
  <c r="BI46" i="8"/>
  <c r="BI47" i="8"/>
  <c r="BI48" i="8"/>
  <c r="BI49" i="8"/>
  <c r="BI50" i="8"/>
  <c r="BI51" i="8"/>
  <c r="BI52" i="8"/>
  <c r="BI53" i="8"/>
  <c r="BI54" i="8"/>
  <c r="BI15" i="8"/>
  <c r="BC20" i="8"/>
  <c r="BC21" i="8"/>
  <c r="BC22" i="8"/>
  <c r="BC23" i="8"/>
  <c r="BC24" i="8"/>
  <c r="BC25" i="8"/>
  <c r="BC26" i="8"/>
  <c r="BC27" i="8"/>
  <c r="BC28" i="8"/>
  <c r="BC29" i="8"/>
  <c r="BC30" i="8"/>
  <c r="BC31" i="8"/>
  <c r="BC32" i="8"/>
  <c r="BC33" i="8"/>
  <c r="BC34" i="8"/>
  <c r="BC35" i="8"/>
  <c r="BC36" i="8"/>
  <c r="BC37" i="8"/>
  <c r="BC38" i="8"/>
  <c r="BC39" i="8"/>
  <c r="BC40" i="8"/>
  <c r="BC41" i="8"/>
  <c r="BC42" i="8"/>
  <c r="BC43" i="8"/>
  <c r="BC44" i="8"/>
  <c r="BC45" i="8"/>
  <c r="BC46" i="8"/>
  <c r="BC47" i="8"/>
  <c r="BC48" i="8"/>
  <c r="BC49" i="8"/>
  <c r="BC50" i="8"/>
  <c r="BC51" i="8"/>
  <c r="BC52" i="8"/>
  <c r="BC53" i="8"/>
  <c r="BC54" i="8"/>
  <c r="BC16" i="8"/>
  <c r="BC17" i="8"/>
  <c r="BC18" i="8"/>
  <c r="BC19" i="8"/>
  <c r="BC15" i="8"/>
  <c r="BB16" i="8"/>
  <c r="BB18" i="8"/>
  <c r="BB20" i="8"/>
  <c r="BB22" i="8"/>
  <c r="BB24" i="8"/>
  <c r="BB26" i="8"/>
  <c r="BB28" i="8"/>
  <c r="BB30" i="8"/>
  <c r="BB32" i="8"/>
  <c r="BB34" i="8"/>
  <c r="BB36" i="8"/>
  <c r="BB38" i="8"/>
  <c r="BB40" i="8"/>
  <c r="BB42" i="8"/>
  <c r="BB44" i="8"/>
  <c r="BB46" i="8"/>
  <c r="BB48" i="8"/>
  <c r="BB50" i="8"/>
  <c r="BB52" i="8"/>
  <c r="BB54" i="8"/>
  <c r="AV54" i="8"/>
  <c r="AM18" i="8"/>
  <c r="AM19" i="8"/>
  <c r="AM20" i="8"/>
  <c r="AN21" i="8"/>
  <c r="AN22" i="8"/>
  <c r="AM24" i="8"/>
  <c r="AN24" i="8"/>
  <c r="AM28" i="8"/>
  <c r="AN28" i="8"/>
  <c r="AM29" i="8"/>
  <c r="AM30" i="8"/>
  <c r="AN30" i="8"/>
  <c r="AM31" i="8"/>
  <c r="AN31" i="8"/>
  <c r="AM32" i="8"/>
  <c r="AN32" i="8"/>
  <c r="AM33" i="8"/>
  <c r="AN33" i="8"/>
  <c r="AM34" i="8"/>
  <c r="AN34" i="8"/>
  <c r="AM35" i="8"/>
  <c r="AN35" i="8"/>
  <c r="AM36" i="8"/>
  <c r="AN36" i="8"/>
  <c r="AN37" i="8"/>
  <c r="AM38" i="8"/>
  <c r="AN38" i="8"/>
  <c r="AM39" i="8"/>
  <c r="AM40" i="8"/>
  <c r="AM41" i="8"/>
  <c r="AN41" i="8"/>
  <c r="AN42" i="8"/>
  <c r="AM43" i="8"/>
  <c r="AN43" i="8"/>
  <c r="AM44" i="8"/>
  <c r="AN44" i="8"/>
  <c r="AM45" i="8"/>
  <c r="AN45" i="8"/>
  <c r="AM46" i="8"/>
  <c r="AN46" i="8"/>
  <c r="AM47" i="8"/>
  <c r="AN47" i="8"/>
  <c r="AM48" i="8"/>
  <c r="AN48" i="8"/>
  <c r="AM49" i="8"/>
  <c r="AN49" i="8"/>
  <c r="AM50" i="8"/>
  <c r="AN50" i="8"/>
  <c r="AM51" i="8"/>
  <c r="AN51" i="8"/>
  <c r="AM52" i="8"/>
  <c r="AN52" i="8"/>
  <c r="AM53" i="8"/>
  <c r="AN53" i="8"/>
  <c r="AM54" i="8"/>
  <c r="AN54" i="8"/>
  <c r="AW54" i="8"/>
  <c r="AO54" i="8"/>
  <c r="W54" i="8"/>
  <c r="T54" i="8"/>
  <c r="AO53" i="8"/>
  <c r="W53" i="8"/>
  <c r="AL53" i="8" s="1"/>
  <c r="S53" i="8"/>
  <c r="V53" i="8" s="1"/>
  <c r="AW52" i="8"/>
  <c r="AV52" i="8"/>
  <c r="AO52" i="8"/>
  <c r="W52" i="8"/>
  <c r="AL52" i="8" s="1"/>
  <c r="T52" i="8"/>
  <c r="AO51" i="8"/>
  <c r="W51" i="8"/>
  <c r="S51" i="8"/>
  <c r="AW50" i="8"/>
  <c r="AV50" i="8"/>
  <c r="AO50" i="8"/>
  <c r="W50" i="8"/>
  <c r="T50" i="8"/>
  <c r="AO49" i="8"/>
  <c r="W49" i="8"/>
  <c r="AL49" i="8" s="1"/>
  <c r="S49" i="8"/>
  <c r="V49" i="8" s="1"/>
  <c r="AW48" i="8"/>
  <c r="AV48" i="8"/>
  <c r="AO48" i="8"/>
  <c r="W48" i="8"/>
  <c r="AL48" i="8" s="1"/>
  <c r="T48" i="8"/>
  <c r="AO47" i="8"/>
  <c r="W47" i="8"/>
  <c r="AL47" i="8" s="1"/>
  <c r="S47" i="8"/>
  <c r="V47" i="8" s="1"/>
  <c r="AW46" i="8"/>
  <c r="AV46" i="8"/>
  <c r="AO46" i="8"/>
  <c r="W46" i="8"/>
  <c r="T46" i="8"/>
  <c r="AO45" i="8"/>
  <c r="W45" i="8"/>
  <c r="S45" i="8"/>
  <c r="V45" i="8" s="1"/>
  <c r="AW44" i="8"/>
  <c r="AV44" i="8"/>
  <c r="AO44" i="8"/>
  <c r="W44" i="8"/>
  <c r="AL44" i="8" s="1"/>
  <c r="T44" i="8"/>
  <c r="AO43" i="8"/>
  <c r="W43" i="8"/>
  <c r="S43" i="8"/>
  <c r="V43" i="8" s="1"/>
  <c r="AW42" i="8"/>
  <c r="AV42" i="8"/>
  <c r="AO42" i="8"/>
  <c r="W42" i="8"/>
  <c r="AL42" i="8" s="1"/>
  <c r="T42" i="8"/>
  <c r="AO41" i="8"/>
  <c r="W41" i="8"/>
  <c r="S41" i="8"/>
  <c r="V41" i="8" s="1"/>
  <c r="AW40" i="8"/>
  <c r="AV40" i="8"/>
  <c r="AO40" i="8"/>
  <c r="W40" i="8"/>
  <c r="AL40" i="8" s="1"/>
  <c r="T40" i="8"/>
  <c r="AO39" i="8"/>
  <c r="W39" i="8"/>
  <c r="AL39" i="8" s="1"/>
  <c r="S39" i="8"/>
  <c r="V39" i="8" s="1"/>
  <c r="AW38" i="8"/>
  <c r="AV38" i="8"/>
  <c r="AO38" i="8"/>
  <c r="W38" i="8"/>
  <c r="AL38" i="8" s="1"/>
  <c r="T38" i="8"/>
  <c r="AO37" i="8"/>
  <c r="W37" i="8"/>
  <c r="S37" i="8"/>
  <c r="V37" i="8" s="1"/>
  <c r="AW36" i="8"/>
  <c r="AV36" i="8"/>
  <c r="AO36" i="8"/>
  <c r="W36" i="8"/>
  <c r="AL36" i="8" s="1"/>
  <c r="T36" i="8"/>
  <c r="AO35" i="8"/>
  <c r="W35" i="8"/>
  <c r="AL35" i="8" s="1"/>
  <c r="S35" i="8"/>
  <c r="V35" i="8" s="1"/>
  <c r="AM55" i="8"/>
  <c r="AO16" i="8"/>
  <c r="AV16" i="8"/>
  <c r="AW16" i="8"/>
  <c r="AO17" i="8"/>
  <c r="AO18" i="8"/>
  <c r="AV18" i="8"/>
  <c r="AW18" i="8"/>
  <c r="AO19" i="8"/>
  <c r="AO20" i="8"/>
  <c r="AV20" i="8"/>
  <c r="AW20" i="8"/>
  <c r="AO21" i="8"/>
  <c r="AO22" i="8"/>
  <c r="AV22" i="8"/>
  <c r="AW22" i="8"/>
  <c r="AO23" i="8"/>
  <c r="AO24" i="8"/>
  <c r="AV24" i="8"/>
  <c r="AW24" i="8"/>
  <c r="AO25" i="8"/>
  <c r="AO26" i="8"/>
  <c r="AV26" i="8"/>
  <c r="AW26" i="8"/>
  <c r="AO27" i="8"/>
  <c r="AO28" i="8"/>
  <c r="AV28" i="8"/>
  <c r="AW28" i="8"/>
  <c r="AO29" i="8"/>
  <c r="AO30" i="8"/>
  <c r="AV30" i="8"/>
  <c r="AW30" i="8"/>
  <c r="AO31" i="8"/>
  <c r="AO32" i="8"/>
  <c r="AV32" i="8"/>
  <c r="AW32" i="8"/>
  <c r="AO33" i="8"/>
  <c r="AO34" i="8"/>
  <c r="AV34" i="8"/>
  <c r="AW34" i="8"/>
  <c r="W34" i="8"/>
  <c r="AL34" i="8" s="1"/>
  <c r="W33" i="8"/>
  <c r="AL33" i="8" s="1"/>
  <c r="W32" i="8"/>
  <c r="AL32" i="8" s="1"/>
  <c r="W31" i="8"/>
  <c r="AL31" i="8" s="1"/>
  <c r="W30" i="8"/>
  <c r="AL30" i="8" s="1"/>
  <c r="W29" i="8"/>
  <c r="AL29" i="8" s="1"/>
  <c r="W28" i="8"/>
  <c r="AL28" i="8" s="1"/>
  <c r="W27" i="8"/>
  <c r="AL27" i="8" s="1"/>
  <c r="W26" i="8"/>
  <c r="AL26" i="8" s="1"/>
  <c r="W25" i="8"/>
  <c r="AL25" i="8" s="1"/>
  <c r="W24" i="8"/>
  <c r="AL24" i="8" s="1"/>
  <c r="W23" i="8"/>
  <c r="AL23" i="8" s="1"/>
  <c r="W22" i="8"/>
  <c r="AL22" i="8" s="1"/>
  <c r="W21" i="8"/>
  <c r="AL21" i="8" s="1"/>
  <c r="W20" i="8"/>
  <c r="AL20" i="8" s="1"/>
  <c r="W19" i="8"/>
  <c r="AL19" i="8" s="1"/>
  <c r="W18" i="8"/>
  <c r="AL18" i="8" s="1"/>
  <c r="W16" i="8"/>
  <c r="AL16" i="8" s="1"/>
  <c r="W15" i="8"/>
  <c r="AL15" i="8" s="1"/>
  <c r="T34" i="8"/>
  <c r="T32" i="8"/>
  <c r="T30" i="8"/>
  <c r="T28" i="8"/>
  <c r="T26" i="8"/>
  <c r="T24" i="8"/>
  <c r="T22" i="8"/>
  <c r="T20" i="8"/>
  <c r="T18" i="8"/>
  <c r="T16" i="8"/>
  <c r="S33" i="8"/>
  <c r="V33" i="8" s="1"/>
  <c r="S31" i="8"/>
  <c r="V31" i="8" s="1"/>
  <c r="S29" i="8"/>
  <c r="V29" i="8" s="1"/>
  <c r="S27" i="8"/>
  <c r="V27" i="8" s="1"/>
  <c r="S25" i="8"/>
  <c r="V25" i="8" s="1"/>
  <c r="S23" i="8"/>
  <c r="V23" i="8" s="1"/>
  <c r="S21" i="8"/>
  <c r="V21" i="8" s="1"/>
  <c r="S19" i="8"/>
  <c r="V19" i="8" s="1"/>
  <c r="S17" i="8"/>
  <c r="S15" i="8"/>
  <c r="V15" i="8" s="1"/>
  <c r="H39" i="18" l="1"/>
  <c r="K38" i="18"/>
  <c r="A39" i="2" s="1"/>
  <c r="R9" i="6"/>
  <c r="R14" i="6"/>
  <c r="R13" i="6"/>
  <c r="R10" i="6"/>
  <c r="R12" i="6"/>
  <c r="R8" i="6"/>
  <c r="T38" i="18"/>
  <c r="AH17" i="8"/>
  <c r="V17" i="8"/>
  <c r="T51" i="8"/>
  <c r="V51" i="8"/>
  <c r="BH25" i="8"/>
  <c r="P25" i="8"/>
  <c r="AH25" i="8"/>
  <c r="P27" i="8"/>
  <c r="AH27" i="8"/>
  <c r="U29" i="8"/>
  <c r="P29" i="8"/>
  <c r="AH29" i="8"/>
  <c r="AF31" i="8"/>
  <c r="AH31" i="8"/>
  <c r="P31" i="8"/>
  <c r="AH21" i="8"/>
  <c r="P21" i="8"/>
  <c r="AG33" i="8"/>
  <c r="AH33" i="8"/>
  <c r="P33" i="8"/>
  <c r="AB19" i="8"/>
  <c r="AH19" i="8"/>
  <c r="P19" i="8"/>
  <c r="AR35" i="8"/>
  <c r="AH35" i="8"/>
  <c r="P35" i="8"/>
  <c r="S38" i="8"/>
  <c r="AG38" i="8" s="1"/>
  <c r="AH37" i="8"/>
  <c r="P37" i="8"/>
  <c r="AW37" i="8" s="1"/>
  <c r="U40" i="8"/>
  <c r="P39" i="8"/>
  <c r="AH39" i="8"/>
  <c r="P41" i="8"/>
  <c r="AH41" i="8"/>
  <c r="D44" i="8"/>
  <c r="P43" i="8"/>
  <c r="AH43" i="8"/>
  <c r="S46" i="8"/>
  <c r="AF46" i="8" s="1"/>
  <c r="AH45" i="8"/>
  <c r="P45" i="8"/>
  <c r="U48" i="8"/>
  <c r="AH47" i="8"/>
  <c r="P47" i="8"/>
  <c r="AG49" i="8"/>
  <c r="AH49" i="8"/>
  <c r="P49" i="8"/>
  <c r="D52" i="8"/>
  <c r="AH51" i="8"/>
  <c r="P51" i="8"/>
  <c r="S54" i="8"/>
  <c r="AF54" i="8" s="1"/>
  <c r="AH53" i="8"/>
  <c r="P53" i="8"/>
  <c r="P23" i="8"/>
  <c r="AH23" i="8"/>
  <c r="Z15" i="8"/>
  <c r="AI15" i="8" s="1"/>
  <c r="AM15" i="8" s="1"/>
  <c r="AH15" i="8"/>
  <c r="P15" i="8"/>
  <c r="P17" i="8"/>
  <c r="N45" i="8"/>
  <c r="AU45" i="8" s="1"/>
  <c r="N54" i="8"/>
  <c r="AU54" i="8" s="1"/>
  <c r="AG23" i="8"/>
  <c r="AF23" i="8"/>
  <c r="AG15" i="8"/>
  <c r="AF15" i="8"/>
  <c r="BH51" i="8"/>
  <c r="AG51" i="8"/>
  <c r="AF21" i="8"/>
  <c r="AF53" i="8"/>
  <c r="BH43" i="8"/>
  <c r="AG17" i="8"/>
  <c r="AG25" i="8"/>
  <c r="AF17" i="8"/>
  <c r="AF25" i="8"/>
  <c r="N41" i="8"/>
  <c r="AU41" i="8" s="1"/>
  <c r="AG19" i="8"/>
  <c r="AF19" i="8"/>
  <c r="AF27" i="8"/>
  <c r="BH53" i="8"/>
  <c r="AG53" i="8"/>
  <c r="N51" i="8"/>
  <c r="AU51" i="8" s="1"/>
  <c r="AF51" i="8"/>
  <c r="BH49" i="8"/>
  <c r="AF49" i="8"/>
  <c r="N50" i="8"/>
  <c r="AU50" i="8" s="1"/>
  <c r="AD47" i="8"/>
  <c r="BH47" i="8"/>
  <c r="AG47" i="8"/>
  <c r="AF47" i="8"/>
  <c r="AG45" i="8"/>
  <c r="BH45" i="8"/>
  <c r="AF45" i="8"/>
  <c r="N46" i="8"/>
  <c r="AF43" i="8"/>
  <c r="AG43" i="8"/>
  <c r="N43" i="8"/>
  <c r="AU43" i="8" s="1"/>
  <c r="BH41" i="8"/>
  <c r="AG41" i="8"/>
  <c r="AF41" i="8"/>
  <c r="AF39" i="8"/>
  <c r="BH39" i="8"/>
  <c r="AG39" i="8"/>
  <c r="AF37" i="8"/>
  <c r="N37" i="8"/>
  <c r="AU37" i="8" s="1"/>
  <c r="AG37" i="8"/>
  <c r="BH37" i="8"/>
  <c r="BH35" i="8"/>
  <c r="AG35" i="8"/>
  <c r="AF35" i="8"/>
  <c r="AF33" i="8"/>
  <c r="BH33" i="8"/>
  <c r="AG31" i="8"/>
  <c r="BH31" i="8"/>
  <c r="AG29" i="8"/>
  <c r="AF29" i="8"/>
  <c r="BH29" i="8"/>
  <c r="BH27" i="8"/>
  <c r="AG27" i="8"/>
  <c r="N49" i="8"/>
  <c r="AU49" i="8" s="1"/>
  <c r="N32" i="8"/>
  <c r="N40" i="8"/>
  <c r="N48" i="8"/>
  <c r="AU48" i="8" s="1"/>
  <c r="N26" i="8"/>
  <c r="AU26" i="8" s="1"/>
  <c r="N34" i="8"/>
  <c r="N42" i="8"/>
  <c r="AU42" i="8" s="1"/>
  <c r="N33" i="8"/>
  <c r="AU33" i="8" s="1"/>
  <c r="N27" i="8"/>
  <c r="AU27" i="8" s="1"/>
  <c r="N35" i="8"/>
  <c r="AU35" i="8" s="1"/>
  <c r="N25" i="8"/>
  <c r="AU25" i="8" s="1"/>
  <c r="N28" i="8"/>
  <c r="N36" i="8"/>
  <c r="N44" i="8"/>
  <c r="AU44" i="8" s="1"/>
  <c r="N52" i="8"/>
  <c r="N29" i="8"/>
  <c r="AU29" i="8" s="1"/>
  <c r="N53" i="8"/>
  <c r="AU53" i="8" s="1"/>
  <c r="N30" i="8"/>
  <c r="N38" i="8"/>
  <c r="AU38" i="8" s="1"/>
  <c r="N31" i="8"/>
  <c r="AU31" i="8" s="1"/>
  <c r="N39" i="8"/>
  <c r="AU39" i="8" s="1"/>
  <c r="N47" i="8"/>
  <c r="AU47" i="8" s="1"/>
  <c r="N15" i="8"/>
  <c r="N16" i="8"/>
  <c r="AU16" i="8" s="1"/>
  <c r="N18" i="8"/>
  <c r="N24" i="8"/>
  <c r="AU24" i="8" s="1"/>
  <c r="BH23" i="8"/>
  <c r="N23" i="8"/>
  <c r="AU23" i="8" s="1"/>
  <c r="BH21" i="8"/>
  <c r="N21" i="8"/>
  <c r="AU21" i="8" s="1"/>
  <c r="N22" i="8"/>
  <c r="N19" i="8"/>
  <c r="AU19" i="8" s="1"/>
  <c r="N20" i="8"/>
  <c r="D20" i="8"/>
  <c r="D19" i="8"/>
  <c r="D18" i="8"/>
  <c r="D17" i="8"/>
  <c r="D16" i="8"/>
  <c r="D15" i="8"/>
  <c r="BH19" i="8"/>
  <c r="BH17" i="8"/>
  <c r="BH15" i="8"/>
  <c r="BG15" i="8" s="1"/>
  <c r="BG16" i="8" s="1"/>
  <c r="X41" i="8"/>
  <c r="Z41" i="8"/>
  <c r="AI41" i="8" s="1"/>
  <c r="AS43" i="8"/>
  <c r="U43" i="8"/>
  <c r="T53" i="8"/>
  <c r="AK53" i="8"/>
  <c r="U44" i="8"/>
  <c r="AP53" i="8"/>
  <c r="AC35" i="8"/>
  <c r="AB51" i="8"/>
  <c r="AS53" i="8"/>
  <c r="AB43" i="8"/>
  <c r="D51" i="8"/>
  <c r="AD51" i="8"/>
  <c r="D53" i="8"/>
  <c r="AT49" i="8"/>
  <c r="AV53" i="8"/>
  <c r="AB53" i="8"/>
  <c r="AK51" i="8"/>
  <c r="AL54" i="8"/>
  <c r="AD39" i="8"/>
  <c r="AC41" i="8"/>
  <c r="AQ51" i="8"/>
  <c r="AS51" i="8"/>
  <c r="U41" i="8"/>
  <c r="D43" i="8"/>
  <c r="AK43" i="8"/>
  <c r="AD53" i="8"/>
  <c r="D54" i="8"/>
  <c r="AB37" i="8"/>
  <c r="AT41" i="8"/>
  <c r="X47" i="8"/>
  <c r="AC49" i="8"/>
  <c r="Z51" i="8"/>
  <c r="AS37" i="8"/>
  <c r="AL41" i="8"/>
  <c r="AD37" i="8"/>
  <c r="AP45" i="8"/>
  <c r="AT35" i="8"/>
  <c r="AV37" i="8"/>
  <c r="X39" i="8"/>
  <c r="AQ41" i="8"/>
  <c r="Z43" i="8"/>
  <c r="AQ43" i="8"/>
  <c r="AS45" i="8"/>
  <c r="Z49" i="8"/>
  <c r="U50" i="8"/>
  <c r="AC51" i="8"/>
  <c r="AT51" i="8"/>
  <c r="AK37" i="8"/>
  <c r="U35" i="8"/>
  <c r="T37" i="8"/>
  <c r="AC43" i="8"/>
  <c r="AT43" i="8"/>
  <c r="D45" i="8"/>
  <c r="AD45" i="8"/>
  <c r="U51" i="8"/>
  <c r="AB45" i="8"/>
  <c r="D46" i="8"/>
  <c r="AP37" i="8"/>
  <c r="U42" i="8"/>
  <c r="T43" i="8"/>
  <c r="AD43" i="8"/>
  <c r="AV45" i="8"/>
  <c r="U49" i="8"/>
  <c r="D38" i="8"/>
  <c r="T45" i="8"/>
  <c r="AK45" i="8"/>
  <c r="AQ49" i="8"/>
  <c r="AL46" i="8"/>
  <c r="AL50" i="8"/>
  <c r="AQ15" i="8"/>
  <c r="T35" i="8"/>
  <c r="AB35" i="8"/>
  <c r="AK35" i="8"/>
  <c r="AS35" i="8"/>
  <c r="S36" i="8"/>
  <c r="U37" i="8"/>
  <c r="AC37" i="8"/>
  <c r="AL37" i="8"/>
  <c r="AT37" i="8"/>
  <c r="U38" i="8"/>
  <c r="D39" i="8"/>
  <c r="AE39" i="8"/>
  <c r="AP41" i="8"/>
  <c r="D42" i="8"/>
  <c r="AA43" i="8"/>
  <c r="AR43" i="8"/>
  <c r="S44" i="8"/>
  <c r="U45" i="8"/>
  <c r="AC45" i="8"/>
  <c r="AL45" i="8"/>
  <c r="AT45" i="8"/>
  <c r="U46" i="8"/>
  <c r="D47" i="8"/>
  <c r="AE47" i="8"/>
  <c r="AP49" i="8"/>
  <c r="D50" i="8"/>
  <c r="AA51" i="8"/>
  <c r="AR51" i="8"/>
  <c r="S52" i="8"/>
  <c r="U53" i="8"/>
  <c r="AC53" i="8"/>
  <c r="AT53" i="8"/>
  <c r="U54" i="8"/>
  <c r="AD35" i="8"/>
  <c r="U36" i="8"/>
  <c r="D37" i="8"/>
  <c r="AE37" i="8"/>
  <c r="AV39" i="8"/>
  <c r="AP39" i="8"/>
  <c r="D40" i="8"/>
  <c r="AA41" i="8"/>
  <c r="AR41" i="8"/>
  <c r="S42" i="8"/>
  <c r="AL43" i="8"/>
  <c r="AV47" i="8"/>
  <c r="AP47" i="8"/>
  <c r="D48" i="8"/>
  <c r="AA49" i="8"/>
  <c r="AR49" i="8"/>
  <c r="S50" i="8"/>
  <c r="AL51" i="8"/>
  <c r="U52" i="8"/>
  <c r="AQ31" i="8"/>
  <c r="D35" i="8"/>
  <c r="X37" i="8"/>
  <c r="Z39" i="8"/>
  <c r="AQ39" i="8"/>
  <c r="T41" i="8"/>
  <c r="AB41" i="8"/>
  <c r="AK41" i="8"/>
  <c r="AS41" i="8"/>
  <c r="Z47" i="8"/>
  <c r="AQ47" i="8"/>
  <c r="T49" i="8"/>
  <c r="AB49" i="8"/>
  <c r="AK49" i="8"/>
  <c r="AS49" i="8"/>
  <c r="AA39" i="8"/>
  <c r="AR39" i="8"/>
  <c r="S40" i="8"/>
  <c r="AA47" i="8"/>
  <c r="AR47" i="8"/>
  <c r="S48" i="8"/>
  <c r="AV35" i="8"/>
  <c r="AP35" i="8"/>
  <c r="Z37" i="8"/>
  <c r="AQ37" i="8"/>
  <c r="T39" i="8"/>
  <c r="AB39" i="8"/>
  <c r="AK39" i="8"/>
  <c r="AS39" i="8"/>
  <c r="AD41" i="8"/>
  <c r="Z45" i="8"/>
  <c r="AQ45" i="8"/>
  <c r="T47" i="8"/>
  <c r="AB47" i="8"/>
  <c r="AK47" i="8"/>
  <c r="AS47" i="8"/>
  <c r="AD49" i="8"/>
  <c r="Z53" i="8"/>
  <c r="AQ53" i="8"/>
  <c r="Z35" i="8"/>
  <c r="AQ35" i="8"/>
  <c r="D36" i="8"/>
  <c r="AA37" i="8"/>
  <c r="AR37" i="8"/>
  <c r="U39" i="8"/>
  <c r="AC39" i="8"/>
  <c r="AT39" i="8"/>
  <c r="D41" i="8"/>
  <c r="AV43" i="8"/>
  <c r="AP43" i="8"/>
  <c r="AA45" i="8"/>
  <c r="AR45" i="8"/>
  <c r="U47" i="8"/>
  <c r="AC47" i="8"/>
  <c r="AT47" i="8"/>
  <c r="D49" i="8"/>
  <c r="AV51" i="8"/>
  <c r="AP51" i="8"/>
  <c r="AA53" i="8"/>
  <c r="AR53" i="8"/>
  <c r="AA35" i="8"/>
  <c r="AP15" i="8"/>
  <c r="AS31" i="8"/>
  <c r="AQ27" i="8"/>
  <c r="AK31" i="8"/>
  <c r="AS25" i="8"/>
  <c r="AP27" i="8"/>
  <c r="AS23" i="8"/>
  <c r="AT21" i="8"/>
  <c r="AS19" i="8"/>
  <c r="AK15" i="8"/>
  <c r="AT31" i="8"/>
  <c r="AR23" i="8"/>
  <c r="AP17" i="8"/>
  <c r="AR19" i="8"/>
  <c r="AR15" i="8"/>
  <c r="AR31" i="8"/>
  <c r="AT25" i="8"/>
  <c r="AK25" i="8"/>
  <c r="AQ23" i="8"/>
  <c r="AK21" i="8"/>
  <c r="AQ19" i="8"/>
  <c r="AP19" i="8"/>
  <c r="AT15" i="8"/>
  <c r="AS33" i="8"/>
  <c r="AP31" i="8"/>
  <c r="AR25" i="8"/>
  <c r="AS21" i="8"/>
  <c r="AT17" i="8"/>
  <c r="AK17" i="8"/>
  <c r="AP23" i="8"/>
  <c r="AS15" i="8"/>
  <c r="AR33" i="8"/>
  <c r="AT27" i="8"/>
  <c r="AK27" i="8"/>
  <c r="AQ25" i="8"/>
  <c r="AR21" i="8"/>
  <c r="AS17" i="8"/>
  <c r="AT33" i="8"/>
  <c r="AK33" i="8"/>
  <c r="AQ33" i="8"/>
  <c r="AS27" i="8"/>
  <c r="AP25" i="8"/>
  <c r="AQ21" i="8"/>
  <c r="AR17" i="8"/>
  <c r="AP33" i="8"/>
  <c r="AR27" i="8"/>
  <c r="AT23" i="8"/>
  <c r="AK23" i="8"/>
  <c r="AP21" i="8"/>
  <c r="AT19" i="8"/>
  <c r="AK19" i="8"/>
  <c r="AQ17" i="8"/>
  <c r="AQ29" i="8"/>
  <c r="AP29" i="8"/>
  <c r="AS29" i="8"/>
  <c r="AK29" i="8"/>
  <c r="AT29" i="8"/>
  <c r="AR29" i="8"/>
  <c r="U33" i="8"/>
  <c r="AV29" i="8"/>
  <c r="T29" i="8"/>
  <c r="AA29" i="8"/>
  <c r="AV31" i="8"/>
  <c r="AC17" i="8"/>
  <c r="AV33" i="8"/>
  <c r="U30" i="8"/>
  <c r="AV27" i="8"/>
  <c r="AV23" i="8"/>
  <c r="AV25" i="8"/>
  <c r="U31" i="8"/>
  <c r="AC15" i="8"/>
  <c r="AD33" i="8"/>
  <c r="T19" i="8"/>
  <c r="X27" i="8"/>
  <c r="AC25" i="8"/>
  <c r="AD25" i="8"/>
  <c r="X19" i="8"/>
  <c r="U16" i="8"/>
  <c r="D29" i="8"/>
  <c r="U17" i="8"/>
  <c r="AC29" i="8"/>
  <c r="D30" i="8"/>
  <c r="T27" i="8"/>
  <c r="U25" i="8"/>
  <c r="AA15" i="8"/>
  <c r="AD29" i="8"/>
  <c r="D32" i="8"/>
  <c r="AC33" i="8"/>
  <c r="AE33" i="8"/>
  <c r="AD21" i="8"/>
  <c r="D23" i="8"/>
  <c r="D31" i="8"/>
  <c r="U15" i="8"/>
  <c r="U24" i="8"/>
  <c r="U32" i="8"/>
  <c r="AA23" i="8"/>
  <c r="AA31" i="8"/>
  <c r="AB25" i="8"/>
  <c r="D21" i="8"/>
  <c r="T21" i="8"/>
  <c r="D25" i="8"/>
  <c r="D33" i="8"/>
  <c r="U18" i="8"/>
  <c r="U26" i="8"/>
  <c r="U34" i="8"/>
  <c r="AA17" i="8"/>
  <c r="AA25" i="8"/>
  <c r="AA33" i="8"/>
  <c r="AB29" i="8"/>
  <c r="AC19" i="8"/>
  <c r="AC23" i="8"/>
  <c r="AC27" i="8"/>
  <c r="AC31" i="8"/>
  <c r="AE19" i="8"/>
  <c r="AE27" i="8"/>
  <c r="AA21" i="8"/>
  <c r="D22" i="8"/>
  <c r="AB27" i="8"/>
  <c r="D26" i="8"/>
  <c r="D34" i="8"/>
  <c r="T23" i="8"/>
  <c r="T31" i="8"/>
  <c r="U19" i="8"/>
  <c r="U27" i="8"/>
  <c r="AB31" i="8"/>
  <c r="AD19" i="8"/>
  <c r="AD23" i="8"/>
  <c r="AD27" i="8"/>
  <c r="AD31" i="8"/>
  <c r="AB21" i="8"/>
  <c r="AB23" i="8"/>
  <c r="D27" i="8"/>
  <c r="T15" i="8"/>
  <c r="U20" i="8"/>
  <c r="U28" i="8"/>
  <c r="AA19" i="8"/>
  <c r="AA27" i="8"/>
  <c r="AB15" i="8"/>
  <c r="AB33" i="8"/>
  <c r="AD15" i="8"/>
  <c r="U22" i="8"/>
  <c r="U23" i="8"/>
  <c r="D24" i="8"/>
  <c r="D28" i="8"/>
  <c r="T17" i="8"/>
  <c r="T25" i="8"/>
  <c r="T33" i="8"/>
  <c r="U21" i="8"/>
  <c r="X33" i="8"/>
  <c r="AC21" i="8"/>
  <c r="Z21" i="8"/>
  <c r="Z19" i="8"/>
  <c r="Z23" i="8"/>
  <c r="Z25" i="8"/>
  <c r="Z27" i="8"/>
  <c r="Z29" i="8"/>
  <c r="Z31" i="8"/>
  <c r="Z17" i="8"/>
  <c r="BB17" i="8" s="1"/>
  <c r="Z33" i="8"/>
  <c r="D4" i="5"/>
  <c r="I3" i="4"/>
  <c r="H40" i="18" l="1"/>
  <c r="K39" i="18"/>
  <c r="A40" i="2" s="1"/>
  <c r="F12" i="6"/>
  <c r="U12" i="6"/>
  <c r="S12" i="6"/>
  <c r="F10" i="6"/>
  <c r="U10" i="6"/>
  <c r="S13" i="6"/>
  <c r="U13" i="6"/>
  <c r="F13" i="6"/>
  <c r="U14" i="6"/>
  <c r="F14" i="6"/>
  <c r="U9" i="6"/>
  <c r="F9" i="6"/>
  <c r="S9" i="6"/>
  <c r="F8" i="6"/>
  <c r="AE8" i="6" s="1"/>
  <c r="K19" i="4"/>
  <c r="V19" i="4" s="1"/>
  <c r="K11" i="4"/>
  <c r="V11" i="4" s="1"/>
  <c r="K18" i="4"/>
  <c r="V18" i="4" s="1"/>
  <c r="K10" i="4"/>
  <c r="V10" i="4" s="1"/>
  <c r="K17" i="4"/>
  <c r="V17" i="4" s="1"/>
  <c r="K9" i="4"/>
  <c r="V9" i="4" s="1"/>
  <c r="K16" i="4"/>
  <c r="V16" i="4" s="1"/>
  <c r="K8" i="4"/>
  <c r="K15" i="4"/>
  <c r="V15" i="4" s="1"/>
  <c r="K20" i="4"/>
  <c r="V20" i="4" s="1"/>
  <c r="K22" i="4"/>
  <c r="V22" i="4" s="1"/>
  <c r="K14" i="4"/>
  <c r="V14" i="4" s="1"/>
  <c r="K21" i="4"/>
  <c r="V21" i="4" s="1"/>
  <c r="K13" i="4"/>
  <c r="V13" i="4" s="1"/>
  <c r="K12" i="4"/>
  <c r="V12" i="4" s="1"/>
  <c r="U8" i="6"/>
  <c r="T39" i="18"/>
  <c r="AS46" i="8"/>
  <c r="AA46" i="8"/>
  <c r="AK46" i="8"/>
  <c r="AT46" i="8"/>
  <c r="AB46" i="8"/>
  <c r="AP46" i="8"/>
  <c r="AC46" i="8"/>
  <c r="AQ46" i="8"/>
  <c r="AD46" i="8"/>
  <c r="AR46" i="8"/>
  <c r="AW45" i="8"/>
  <c r="AU22" i="8"/>
  <c r="O21" i="8"/>
  <c r="AV21" i="8" s="1"/>
  <c r="AU20" i="8"/>
  <c r="O19" i="8"/>
  <c r="AV19" i="8" s="1"/>
  <c r="AT38" i="8"/>
  <c r="BB15" i="8"/>
  <c r="BA15" i="8"/>
  <c r="BA16" i="8" s="1"/>
  <c r="BA17" i="8" s="1"/>
  <c r="BA18" i="8" s="1"/>
  <c r="BA19" i="8" s="1"/>
  <c r="BA20" i="8" s="1"/>
  <c r="BA21" i="8" s="1"/>
  <c r="BA22" i="8" s="1"/>
  <c r="BA23" i="8" s="1"/>
  <c r="BA24" i="8" s="1"/>
  <c r="BA25" i="8" s="1"/>
  <c r="BA26" i="8" s="1"/>
  <c r="BA27" i="8" s="1"/>
  <c r="BA28" i="8" s="1"/>
  <c r="BA29" i="8" s="1"/>
  <c r="BA30" i="8" s="1"/>
  <c r="BA31" i="8" s="1"/>
  <c r="BA32" i="8" s="1"/>
  <c r="BA33" i="8" s="1"/>
  <c r="BA34" i="8" s="1"/>
  <c r="BA35" i="8" s="1"/>
  <c r="BA36" i="8" s="1"/>
  <c r="BA37" i="8" s="1"/>
  <c r="BA38" i="8" s="1"/>
  <c r="BA39" i="8" s="1"/>
  <c r="BA40" i="8" s="1"/>
  <c r="BA41" i="8" s="1"/>
  <c r="BA42" i="8" s="1"/>
  <c r="BA43" i="8" s="1"/>
  <c r="BA44" i="8" s="1"/>
  <c r="BA45" i="8" s="1"/>
  <c r="BA46" i="8" s="1"/>
  <c r="BA47" i="8" s="1"/>
  <c r="BA48" i="8" s="1"/>
  <c r="BA49" i="8" s="1"/>
  <c r="BA50" i="8" s="1"/>
  <c r="BA51" i="8" s="1"/>
  <c r="BA52" i="8" s="1"/>
  <c r="BA53" i="8" s="1"/>
  <c r="BA54" i="8" s="1"/>
  <c r="AP54" i="8"/>
  <c r="AB54" i="8"/>
  <c r="AG46" i="8"/>
  <c r="X54" i="8"/>
  <c r="AK38" i="8"/>
  <c r="AK54" i="8"/>
  <c r="AE38" i="8"/>
  <c r="AB38" i="8"/>
  <c r="AS54" i="8"/>
  <c r="AP38" i="8"/>
  <c r="AQ38" i="8"/>
  <c r="AA54" i="8"/>
  <c r="AR38" i="8"/>
  <c r="AC38" i="8"/>
  <c r="AE54" i="8"/>
  <c r="AT54" i="8"/>
  <c r="X38" i="8"/>
  <c r="AD38" i="8"/>
  <c r="AG54" i="8"/>
  <c r="AQ54" i="8"/>
  <c r="AC54" i="8"/>
  <c r="AS38" i="8"/>
  <c r="AR54" i="8"/>
  <c r="AD54" i="8"/>
  <c r="AA38" i="8"/>
  <c r="AF38" i="8"/>
  <c r="P9" i="8"/>
  <c r="AU18" i="8"/>
  <c r="AU15" i="8"/>
  <c r="O15" i="8"/>
  <c r="BG17" i="8"/>
  <c r="BG18" i="8" s="1"/>
  <c r="BG19" i="8" s="1"/>
  <c r="BG20" i="8" s="1"/>
  <c r="BG21" i="8" s="1"/>
  <c r="BG22" i="8" s="1"/>
  <c r="BG23" i="8" s="1"/>
  <c r="BG24" i="8" s="1"/>
  <c r="BG25" i="8" s="1"/>
  <c r="BG26" i="8" s="1"/>
  <c r="BG27" i="8" s="1"/>
  <c r="BG28" i="8" s="1"/>
  <c r="BG29" i="8" s="1"/>
  <c r="BG30" i="8" s="1"/>
  <c r="BG31" i="8" s="1"/>
  <c r="BG32" i="8" s="1"/>
  <c r="BG33" i="8" s="1"/>
  <c r="BG34" i="8" s="1"/>
  <c r="BG35" i="8" s="1"/>
  <c r="BG36" i="8" s="1"/>
  <c r="BG37" i="8" s="1"/>
  <c r="BG38" i="8" s="1"/>
  <c r="BG39" i="8" s="1"/>
  <c r="BG40" i="8" s="1"/>
  <c r="BG41" i="8" s="1"/>
  <c r="BG42" i="8" s="1"/>
  <c r="BG43" i="8" s="1"/>
  <c r="BG44" i="8" s="1"/>
  <c r="BG45" i="8" s="1"/>
  <c r="BG46" i="8" s="1"/>
  <c r="BG47" i="8" s="1"/>
  <c r="BG48" i="8" s="1"/>
  <c r="BG49" i="8" s="1"/>
  <c r="BG50" i="8" s="1"/>
  <c r="BG51" i="8" s="1"/>
  <c r="BG52" i="8" s="1"/>
  <c r="BG53" i="8" s="1"/>
  <c r="BG54" i="8" s="1"/>
  <c r="AU46" i="8"/>
  <c r="AW53" i="8"/>
  <c r="AF52" i="8"/>
  <c r="AG52" i="8"/>
  <c r="AU52" i="8"/>
  <c r="AW51" i="8"/>
  <c r="AF50" i="8"/>
  <c r="AG50" i="8"/>
  <c r="AG48" i="8"/>
  <c r="AF48" i="8"/>
  <c r="AW47" i="8"/>
  <c r="AG44" i="8"/>
  <c r="AF44" i="8"/>
  <c r="AF42" i="8"/>
  <c r="AG42" i="8"/>
  <c r="AF40" i="8"/>
  <c r="AG40" i="8"/>
  <c r="AF36" i="8"/>
  <c r="AG36" i="8"/>
  <c r="AU34" i="8"/>
  <c r="AW33" i="8"/>
  <c r="AU32" i="8"/>
  <c r="AW31" i="8"/>
  <c r="AU28" i="8"/>
  <c r="AW27" i="8"/>
  <c r="BB41" i="8"/>
  <c r="AI27" i="8"/>
  <c r="BB27" i="8"/>
  <c r="AI47" i="8"/>
  <c r="BB47" i="8"/>
  <c r="AI31" i="8"/>
  <c r="BB31" i="8"/>
  <c r="AI53" i="8"/>
  <c r="BB53" i="8"/>
  <c r="AI39" i="8"/>
  <c r="BB39" i="8"/>
  <c r="AI29" i="8"/>
  <c r="BB29" i="8"/>
  <c r="AI45" i="8"/>
  <c r="BB45" i="8"/>
  <c r="AI49" i="8"/>
  <c r="BB49" i="8"/>
  <c r="AI51" i="8"/>
  <c r="BB51" i="8"/>
  <c r="AI25" i="8"/>
  <c r="BB25" i="8"/>
  <c r="AI37" i="8"/>
  <c r="BB37" i="8"/>
  <c r="AI35" i="8"/>
  <c r="BB35" i="8"/>
  <c r="AI43" i="8"/>
  <c r="BB43" i="8"/>
  <c r="AI23" i="8"/>
  <c r="BB23" i="8"/>
  <c r="AI19" i="8"/>
  <c r="BB19" i="8"/>
  <c r="AI33" i="8"/>
  <c r="BB33" i="8"/>
  <c r="AI21" i="8"/>
  <c r="AM21" i="8" s="1"/>
  <c r="BB21" i="8"/>
  <c r="AI17" i="8"/>
  <c r="AN40" i="8"/>
  <c r="AN39" i="8"/>
  <c r="AV41" i="8"/>
  <c r="AW41" i="8"/>
  <c r="AB36" i="8"/>
  <c r="AT36" i="8"/>
  <c r="AA36" i="8"/>
  <c r="AD36" i="8"/>
  <c r="AS36" i="8"/>
  <c r="AK36" i="8"/>
  <c r="X36" i="8"/>
  <c r="AR36" i="8"/>
  <c r="AQ36" i="8"/>
  <c r="AP36" i="8"/>
  <c r="AE36" i="8"/>
  <c r="AC36" i="8"/>
  <c r="AQ48" i="8"/>
  <c r="AP48" i="8"/>
  <c r="AE48" i="8"/>
  <c r="AD48" i="8"/>
  <c r="AC48" i="8"/>
  <c r="AB48" i="8"/>
  <c r="AS48" i="8"/>
  <c r="AK48" i="8"/>
  <c r="X48" i="8"/>
  <c r="AT48" i="8"/>
  <c r="AA48" i="8"/>
  <c r="AR48" i="8"/>
  <c r="AV49" i="8"/>
  <c r="AW49" i="8"/>
  <c r="AB44" i="8"/>
  <c r="AT44" i="8"/>
  <c r="AA44" i="8"/>
  <c r="AD44" i="8"/>
  <c r="AS44" i="8"/>
  <c r="AK44" i="8"/>
  <c r="X44" i="8"/>
  <c r="AR44" i="8"/>
  <c r="AQ44" i="8"/>
  <c r="AP44" i="8"/>
  <c r="AE44" i="8"/>
  <c r="AC44" i="8"/>
  <c r="AS50" i="8"/>
  <c r="AK50" i="8"/>
  <c r="X50" i="8"/>
  <c r="AR50" i="8"/>
  <c r="AQ50" i="8"/>
  <c r="AP50" i="8"/>
  <c r="AE50" i="8"/>
  <c r="AD50" i="8"/>
  <c r="AC50" i="8"/>
  <c r="AB50" i="8"/>
  <c r="AT50" i="8"/>
  <c r="AA50" i="8"/>
  <c r="AS42" i="8"/>
  <c r="AK42" i="8"/>
  <c r="AR42" i="8"/>
  <c r="AQ42" i="8"/>
  <c r="AP42" i="8"/>
  <c r="AB42" i="8"/>
  <c r="AD42" i="8"/>
  <c r="AC42" i="8"/>
  <c r="AT42" i="8"/>
  <c r="AA42" i="8"/>
  <c r="AB52" i="8"/>
  <c r="AT52" i="8"/>
  <c r="AA52" i="8"/>
  <c r="AS52" i="8"/>
  <c r="AK52" i="8"/>
  <c r="X52" i="8"/>
  <c r="AR52" i="8"/>
  <c r="AQ52" i="8"/>
  <c r="AD52" i="8"/>
  <c r="AP52" i="8"/>
  <c r="AE52" i="8"/>
  <c r="AC52" i="8"/>
  <c r="AP40" i="8"/>
  <c r="AE40" i="8"/>
  <c r="AD40" i="8"/>
  <c r="AC40" i="8"/>
  <c r="AS40" i="8"/>
  <c r="AK40" i="8"/>
  <c r="X40" i="8"/>
  <c r="AB40" i="8"/>
  <c r="AT40" i="8"/>
  <c r="AA40" i="8"/>
  <c r="AR40" i="8"/>
  <c r="AQ40" i="8"/>
  <c r="AW43" i="8"/>
  <c r="AU40" i="8"/>
  <c r="AW39" i="8"/>
  <c r="AU36" i="8"/>
  <c r="AW35" i="8"/>
  <c r="AU30" i="8"/>
  <c r="AW29" i="8"/>
  <c r="AW25" i="8"/>
  <c r="AW21" i="8"/>
  <c r="AW23" i="8"/>
  <c r="AW19" i="8"/>
  <c r="K121" i="14"/>
  <c r="K119" i="14"/>
  <c r="K118" i="14"/>
  <c r="I116" i="14"/>
  <c r="G116" i="14"/>
  <c r="F116" i="14"/>
  <c r="E116" i="14"/>
  <c r="I115" i="14"/>
  <c r="G115" i="14"/>
  <c r="F115" i="14"/>
  <c r="E115" i="14"/>
  <c r="H41" i="18" l="1"/>
  <c r="K40" i="18"/>
  <c r="A41" i="2" s="1"/>
  <c r="T40" i="18"/>
  <c r="AV15" i="8"/>
  <c r="AY16" i="8"/>
  <c r="BD15" i="8"/>
  <c r="BE15" i="8"/>
  <c r="BD16" i="8"/>
  <c r="BD20" i="8"/>
  <c r="BD24" i="8"/>
  <c r="BD28" i="8"/>
  <c r="BD32" i="8"/>
  <c r="BD36" i="8"/>
  <c r="BD40" i="8"/>
  <c r="BD44" i="8"/>
  <c r="BD48" i="8"/>
  <c r="BD52" i="8"/>
  <c r="BE16" i="8"/>
  <c r="BE20" i="8"/>
  <c r="BE24" i="8"/>
  <c r="BE28" i="8"/>
  <c r="BE32" i="8"/>
  <c r="BE36" i="8"/>
  <c r="BE40" i="8"/>
  <c r="BE44" i="8"/>
  <c r="BE48" i="8"/>
  <c r="BE52" i="8"/>
  <c r="BD43" i="8"/>
  <c r="BD17" i="8"/>
  <c r="BD21" i="8"/>
  <c r="BD25" i="8"/>
  <c r="BD29" i="8"/>
  <c r="BD33" i="8"/>
  <c r="BD37" i="8"/>
  <c r="BD41" i="8"/>
  <c r="BD45" i="8"/>
  <c r="BD49" i="8"/>
  <c r="BD53" i="8"/>
  <c r="BD23" i="8"/>
  <c r="BD35" i="8"/>
  <c r="BD47" i="8"/>
  <c r="BE17" i="8"/>
  <c r="BE21" i="8"/>
  <c r="BE25" i="8"/>
  <c r="BE29" i="8"/>
  <c r="BE33" i="8"/>
  <c r="BE37" i="8"/>
  <c r="BE41" i="8"/>
  <c r="BE45" i="8"/>
  <c r="BE49" i="8"/>
  <c r="BE53" i="8"/>
  <c r="BD18" i="8"/>
  <c r="BD22" i="8"/>
  <c r="BD26" i="8"/>
  <c r="BD30" i="8"/>
  <c r="BD34" i="8"/>
  <c r="BD38" i="8"/>
  <c r="BD42" i="8"/>
  <c r="BD46" i="8"/>
  <c r="BD50" i="8"/>
  <c r="BD54" i="8"/>
  <c r="BD31" i="8"/>
  <c r="BE18" i="8"/>
  <c r="BE22" i="8"/>
  <c r="BE26" i="8"/>
  <c r="BE30" i="8"/>
  <c r="BE34" i="8"/>
  <c r="BE38" i="8"/>
  <c r="BE42" i="8"/>
  <c r="BE46" i="8"/>
  <c r="BE50" i="8"/>
  <c r="BE54" i="8"/>
  <c r="BD19" i="8"/>
  <c r="BD39" i="8"/>
  <c r="BD51" i="8"/>
  <c r="BE19" i="8"/>
  <c r="BE23" i="8"/>
  <c r="BE27" i="8"/>
  <c r="BE31" i="8"/>
  <c r="BE35" i="8"/>
  <c r="BE39" i="8"/>
  <c r="BE43" i="8"/>
  <c r="BE47" i="8"/>
  <c r="BE51" i="8"/>
  <c r="BD27" i="8"/>
  <c r="BD14" i="8"/>
  <c r="AW15" i="8"/>
  <c r="AM17" i="8"/>
  <c r="AM37" i="8"/>
  <c r="AM22" i="8"/>
  <c r="AM42" i="8"/>
  <c r="W17" i="8"/>
  <c r="N17" i="8" s="1"/>
  <c r="S30" i="8"/>
  <c r="S28" i="8"/>
  <c r="S26" i="8"/>
  <c r="S24" i="8"/>
  <c r="S22" i="8"/>
  <c r="S20" i="8"/>
  <c r="S18" i="8"/>
  <c r="AG21" i="8"/>
  <c r="I76" i="14"/>
  <c r="I75" i="14"/>
  <c r="G75" i="14"/>
  <c r="G76" i="14"/>
  <c r="F75" i="14"/>
  <c r="F76" i="14"/>
  <c r="E76" i="14"/>
  <c r="E75" i="14"/>
  <c r="K81" i="14"/>
  <c r="K79" i="14"/>
  <c r="K78" i="14"/>
  <c r="K41" i="14"/>
  <c r="K39" i="14"/>
  <c r="K38" i="14"/>
  <c r="H42" i="18" l="1"/>
  <c r="K41" i="18"/>
  <c r="A42" i="2" s="1"/>
  <c r="T41" i="18"/>
  <c r="P8" i="8"/>
  <c r="AY15" i="8" s="1"/>
  <c r="O17" i="8"/>
  <c r="AV17" i="8" s="1"/>
  <c r="AF18" i="8"/>
  <c r="AG18" i="8"/>
  <c r="AF20" i="8"/>
  <c r="AG20" i="8"/>
  <c r="AF22" i="8"/>
  <c r="AG22" i="8"/>
  <c r="AF24" i="8"/>
  <c r="AG24" i="8"/>
  <c r="AF26" i="8"/>
  <c r="AG26" i="8"/>
  <c r="AF30" i="8"/>
  <c r="AG30" i="8"/>
  <c r="AG28" i="8"/>
  <c r="AF28" i="8"/>
  <c r="AA30" i="8"/>
  <c r="AC24" i="8"/>
  <c r="AR24" i="8"/>
  <c r="AA24" i="8"/>
  <c r="AS24" i="8"/>
  <c r="AK24" i="8"/>
  <c r="AT24" i="8"/>
  <c r="AQ24" i="8"/>
  <c r="AP24" i="8"/>
  <c r="AC26" i="8"/>
  <c r="AQ26" i="8"/>
  <c r="AP26" i="8"/>
  <c r="AR26" i="8"/>
  <c r="AA26" i="8"/>
  <c r="AS26" i="8"/>
  <c r="AK26" i="8"/>
  <c r="AT26" i="8"/>
  <c r="AC28" i="8"/>
  <c r="AP28" i="8"/>
  <c r="AQ28" i="8"/>
  <c r="AR28" i="8"/>
  <c r="AK28" i="8"/>
  <c r="AT28" i="8"/>
  <c r="AS28" i="8"/>
  <c r="AA28" i="8"/>
  <c r="AC20" i="8"/>
  <c r="AR20" i="8"/>
  <c r="AQ20" i="8"/>
  <c r="AA20" i="8"/>
  <c r="AS20" i="8"/>
  <c r="AK20" i="8"/>
  <c r="AT20" i="8"/>
  <c r="AP20" i="8"/>
  <c r="AC18" i="8"/>
  <c r="AP18" i="8"/>
  <c r="AS18" i="8"/>
  <c r="AA18" i="8"/>
  <c r="AQ18" i="8"/>
  <c r="AR18" i="8"/>
  <c r="AK18" i="8"/>
  <c r="AT18" i="8"/>
  <c r="AC22" i="8"/>
  <c r="AA22" i="8"/>
  <c r="AP22" i="8"/>
  <c r="AS22" i="8"/>
  <c r="AQ22" i="8"/>
  <c r="AR22" i="8"/>
  <c r="AT22" i="8"/>
  <c r="AK22" i="8"/>
  <c r="AL17" i="8"/>
  <c r="AC30" i="8"/>
  <c r="AP30" i="8"/>
  <c r="AQ30" i="8"/>
  <c r="AR30" i="8"/>
  <c r="AK30" i="8"/>
  <c r="AS30" i="8"/>
  <c r="AT30" i="8"/>
  <c r="X30" i="8"/>
  <c r="AD30" i="8"/>
  <c r="AE30" i="8"/>
  <c r="AB30" i="8"/>
  <c r="AB18" i="8"/>
  <c r="AD18" i="8"/>
  <c r="AB17" i="8"/>
  <c r="AD17" i="8"/>
  <c r="AB22" i="8"/>
  <c r="AD22" i="8"/>
  <c r="AD24" i="8"/>
  <c r="AE24" i="8"/>
  <c r="X24" i="8"/>
  <c r="AB24" i="8"/>
  <c r="AB26" i="8"/>
  <c r="AD26" i="8"/>
  <c r="AD20" i="8"/>
  <c r="AB20" i="8"/>
  <c r="AD28" i="8"/>
  <c r="AB28" i="8"/>
  <c r="AE28" i="8"/>
  <c r="X28" i="8"/>
  <c r="S34" i="8"/>
  <c r="S16" i="8"/>
  <c r="S32" i="8"/>
  <c r="A3" i="9"/>
  <c r="V9" i="6"/>
  <c r="K8" i="5"/>
  <c r="N8" i="5" s="1"/>
  <c r="Q8" i="4"/>
  <c r="R8" i="4"/>
  <c r="H43" i="18" l="1"/>
  <c r="K42" i="18"/>
  <c r="A43" i="2" s="1"/>
  <c r="X15" i="6"/>
  <c r="AH15" i="6" s="1"/>
  <c r="Y15" i="6"/>
  <c r="W15" i="6"/>
  <c r="S8" i="6"/>
  <c r="S10" i="6"/>
  <c r="S14" i="6"/>
  <c r="V13" i="6"/>
  <c r="W10" i="6"/>
  <c r="Y10" i="6"/>
  <c r="X10" i="6"/>
  <c r="W12" i="6"/>
  <c r="Y12" i="6"/>
  <c r="X12" i="6"/>
  <c r="X9" i="6"/>
  <c r="Y9" i="6"/>
  <c r="G8" i="5"/>
  <c r="T42" i="18"/>
  <c r="W9" i="6"/>
  <c r="AM8" i="5"/>
  <c r="P10" i="8"/>
  <c r="AY17" i="8" s="1"/>
  <c r="AF16" i="8"/>
  <c r="AG16" i="8"/>
  <c r="AG34" i="8"/>
  <c r="AF34" i="8"/>
  <c r="AG32" i="8"/>
  <c r="AF32" i="8"/>
  <c r="AU17" i="8"/>
  <c r="AC16" i="8"/>
  <c r="AK16" i="8"/>
  <c r="AT16" i="8"/>
  <c r="AS16" i="8"/>
  <c r="AA16" i="8"/>
  <c r="AP16" i="8"/>
  <c r="AQ16" i="8"/>
  <c r="AR16" i="8"/>
  <c r="AC32" i="8"/>
  <c r="AS32" i="8"/>
  <c r="AK32" i="8"/>
  <c r="AT32" i="8"/>
  <c r="AA32" i="8"/>
  <c r="AP32" i="8"/>
  <c r="AQ32" i="8"/>
  <c r="AR32" i="8"/>
  <c r="AC34" i="8"/>
  <c r="AK34" i="8"/>
  <c r="AA34" i="8"/>
  <c r="AP34" i="8"/>
  <c r="AQ34" i="8"/>
  <c r="AR34" i="8"/>
  <c r="AS34" i="8"/>
  <c r="AT34" i="8"/>
  <c r="AD16" i="8"/>
  <c r="AB16" i="8"/>
  <c r="AB34" i="8"/>
  <c r="AD34" i="8"/>
  <c r="AD32" i="8"/>
  <c r="AB32" i="8"/>
  <c r="AE32" i="8"/>
  <c r="X32" i="8"/>
  <c r="AO15" i="8"/>
  <c r="H44" i="18" l="1"/>
  <c r="K43" i="18"/>
  <c r="A44" i="2" s="1"/>
  <c r="W13" i="6"/>
  <c r="Y13" i="6"/>
  <c r="X13" i="6"/>
  <c r="V8" i="6"/>
  <c r="H20" i="5" s="1"/>
  <c r="T43" i="18"/>
  <c r="BK46" i="8"/>
  <c r="BK38" i="8"/>
  <c r="BJ40" i="8"/>
  <c r="BJ16" i="8"/>
  <c r="BJ35" i="8"/>
  <c r="BJ30" i="8"/>
  <c r="BJ21" i="8"/>
  <c r="BJ46" i="8"/>
  <c r="BK24" i="8"/>
  <c r="BJ53" i="8"/>
  <c r="BJ45" i="8"/>
  <c r="BK51" i="8"/>
  <c r="BK39" i="8"/>
  <c r="BK27" i="8"/>
  <c r="BK25" i="8"/>
  <c r="BJ22" i="8"/>
  <c r="BJ23" i="8"/>
  <c r="BJ51" i="8"/>
  <c r="BK47" i="8"/>
  <c r="BJ25" i="8"/>
  <c r="BK20" i="8"/>
  <c r="BK33" i="8"/>
  <c r="BK18" i="8"/>
  <c r="BK22" i="8"/>
  <c r="BJ44" i="8"/>
  <c r="BJ18" i="8"/>
  <c r="BK36" i="8"/>
  <c r="BK41" i="8"/>
  <c r="BJ26" i="8"/>
  <c r="BJ42" i="8"/>
  <c r="BK26" i="8"/>
  <c r="BJ52" i="8"/>
  <c r="BK21" i="8"/>
  <c r="BK52" i="8"/>
  <c r="BK29" i="8"/>
  <c r="BJ47" i="8"/>
  <c r="BJ24" i="8"/>
  <c r="BK16" i="8"/>
  <c r="BJ49" i="8"/>
  <c r="BK48" i="8"/>
  <c r="BK31" i="8"/>
  <c r="BK35" i="8"/>
  <c r="BK19" i="8"/>
  <c r="BK17" i="8"/>
  <c r="BK49" i="8"/>
  <c r="BK53" i="8"/>
  <c r="BK30" i="8"/>
  <c r="BJ17" i="8"/>
  <c r="BJ54" i="8"/>
  <c r="BJ34" i="8"/>
  <c r="BK54" i="8"/>
  <c r="BJ28" i="8"/>
  <c r="BJ32" i="8"/>
  <c r="BK42" i="8"/>
  <c r="BJ19" i="8"/>
  <c r="BJ31" i="8"/>
  <c r="BJ36" i="8"/>
  <c r="BJ29" i="8"/>
  <c r="BJ38" i="8"/>
  <c r="BJ37" i="8"/>
  <c r="BK28" i="8"/>
  <c r="BJ33" i="8"/>
  <c r="BK34" i="8"/>
  <c r="BJ39" i="8"/>
  <c r="BK37" i="8"/>
  <c r="BK45" i="8"/>
  <c r="BJ48" i="8"/>
  <c r="BK15" i="8"/>
  <c r="BJ41" i="8"/>
  <c r="BK50" i="8"/>
  <c r="BK44" i="8"/>
  <c r="BJ50" i="8"/>
  <c r="BK43" i="8"/>
  <c r="BK40" i="8"/>
  <c r="BK32" i="8"/>
  <c r="BK23" i="8"/>
  <c r="BJ43" i="8"/>
  <c r="BJ27" i="8"/>
  <c r="BJ20" i="8"/>
  <c r="AW17" i="8"/>
  <c r="X45" i="8"/>
  <c r="X35" i="8"/>
  <c r="X42" i="8"/>
  <c r="AE45" i="8"/>
  <c r="AE35" i="8"/>
  <c r="AE42" i="8"/>
  <c r="AE25" i="8"/>
  <c r="AE22" i="8"/>
  <c r="X22" i="8"/>
  <c r="X25" i="8"/>
  <c r="H45" i="18" l="1"/>
  <c r="K44" i="18"/>
  <c r="A45" i="2" s="1"/>
  <c r="Y8" i="6"/>
  <c r="X8" i="6"/>
  <c r="W8" i="6"/>
  <c r="H17" i="5"/>
  <c r="H9" i="5"/>
  <c r="H8" i="5"/>
  <c r="H15" i="5"/>
  <c r="H14" i="5"/>
  <c r="H18" i="5"/>
  <c r="H10" i="5"/>
  <c r="T44" i="18"/>
  <c r="AP8" i="5"/>
  <c r="AO8" i="5" s="1"/>
  <c r="F3" i="5"/>
  <c r="AM23" i="8"/>
  <c r="AM25" i="8"/>
  <c r="AM27" i="8"/>
  <c r="AM26" i="8"/>
  <c r="AM16" i="8"/>
  <c r="AN18" i="8"/>
  <c r="BJ15" i="8"/>
  <c r="BJ14" i="8"/>
  <c r="H46" i="18" l="1"/>
  <c r="K45" i="18"/>
  <c r="A46" i="2" s="1"/>
  <c r="T45" i="18"/>
  <c r="AB22" i="5"/>
  <c r="AB43" i="5"/>
  <c r="AB28" i="5"/>
  <c r="AB38" i="5"/>
  <c r="AB53" i="5"/>
  <c r="AB45" i="5"/>
  <c r="AB24" i="5"/>
  <c r="AB50" i="5"/>
  <c r="AB35" i="5"/>
  <c r="AB36" i="5"/>
  <c r="AB55" i="5"/>
  <c r="AB52" i="5"/>
  <c r="AB54" i="5"/>
  <c r="AB32" i="5"/>
  <c r="AB20" i="5"/>
  <c r="AB49" i="5"/>
  <c r="AB27" i="5"/>
  <c r="AB30" i="5"/>
  <c r="AB31" i="5"/>
  <c r="AB47" i="5"/>
  <c r="AB34" i="5"/>
  <c r="AB25" i="5"/>
  <c r="AB48" i="5"/>
  <c r="AB51" i="5"/>
  <c r="AB18" i="5"/>
  <c r="AB17" i="5"/>
  <c r="AB21" i="5"/>
  <c r="AB39" i="5"/>
  <c r="AB19" i="5"/>
  <c r="AB23" i="5"/>
  <c r="AB57" i="5"/>
  <c r="AB44" i="5"/>
  <c r="AB29" i="5"/>
  <c r="AB41" i="5"/>
  <c r="AB46" i="5"/>
  <c r="AB40" i="5"/>
  <c r="AB26" i="5"/>
  <c r="AB33" i="5"/>
  <c r="AB56" i="5"/>
  <c r="AB42" i="5"/>
  <c r="AB37" i="5"/>
  <c r="AB16" i="5"/>
  <c r="AP6" i="5" a="1"/>
  <c r="AP6" i="5" s="1"/>
  <c r="AN19" i="8"/>
  <c r="AN26" i="8"/>
  <c r="AN25" i="8"/>
  <c r="AN15" i="8"/>
  <c r="AN29" i="8"/>
  <c r="AN27" i="8"/>
  <c r="AN23" i="8"/>
  <c r="AN20" i="8"/>
  <c r="AN16" i="8"/>
  <c r="AC3" i="5"/>
  <c r="H47" i="18" l="1"/>
  <c r="K46" i="18"/>
  <c r="A47" i="2" s="1"/>
  <c r="AF20" i="5"/>
  <c r="AG20" i="5"/>
  <c r="AH20" i="5"/>
  <c r="AA20" i="5"/>
  <c r="AI20" i="5"/>
  <c r="AE20" i="5"/>
  <c r="AC20" i="5"/>
  <c r="AD20" i="5"/>
  <c r="AE37" i="5"/>
  <c r="AC37" i="5"/>
  <c r="B112" i="14" s="1"/>
  <c r="AF37" i="5"/>
  <c r="AG37" i="5"/>
  <c r="AH37" i="5"/>
  <c r="AA37" i="5"/>
  <c r="AI37" i="5"/>
  <c r="AD37" i="5"/>
  <c r="AA33" i="5"/>
  <c r="AI33" i="5"/>
  <c r="AC33" i="5"/>
  <c r="B100" i="14" s="1"/>
  <c r="AG33" i="5"/>
  <c r="AD33" i="5"/>
  <c r="AE33" i="5"/>
  <c r="AH33" i="5"/>
  <c r="AF33" i="5"/>
  <c r="AH48" i="5"/>
  <c r="AC48" i="5"/>
  <c r="B165" i="14" s="1"/>
  <c r="AA48" i="5"/>
  <c r="AD48" i="5"/>
  <c r="AE48" i="5"/>
  <c r="AI48" i="5"/>
  <c r="AF48" i="5"/>
  <c r="AG48" i="5"/>
  <c r="AH34" i="5"/>
  <c r="AA34" i="5"/>
  <c r="AI34" i="5"/>
  <c r="AG34" i="5"/>
  <c r="AC34" i="5"/>
  <c r="B103" i="14" s="1"/>
  <c r="AF34" i="5"/>
  <c r="AD34" i="5"/>
  <c r="AE34" i="5"/>
  <c r="AD30" i="5"/>
  <c r="AE30" i="5"/>
  <c r="AF30" i="5"/>
  <c r="AG30" i="5"/>
  <c r="AH30" i="5"/>
  <c r="AC30" i="5"/>
  <c r="B91" i="14" s="1"/>
  <c r="AA30" i="5"/>
  <c r="AI30" i="5"/>
  <c r="AH50" i="5"/>
  <c r="AA50" i="5"/>
  <c r="AI50" i="5"/>
  <c r="AC50" i="5"/>
  <c r="B171" i="14" s="1"/>
  <c r="AD50" i="5"/>
  <c r="AG50" i="5"/>
  <c r="AE50" i="5"/>
  <c r="AF50" i="5"/>
  <c r="AD46" i="5"/>
  <c r="AE46" i="5"/>
  <c r="AF46" i="5"/>
  <c r="AC46" i="5"/>
  <c r="B149" i="14" s="1"/>
  <c r="AG46" i="5"/>
  <c r="AH46" i="5"/>
  <c r="AA46" i="5"/>
  <c r="AI46" i="5"/>
  <c r="AC23" i="5"/>
  <c r="AA23" i="5"/>
  <c r="AD23" i="5"/>
  <c r="AE23" i="5"/>
  <c r="AF23" i="5"/>
  <c r="AG23" i="5"/>
  <c r="AH23" i="5"/>
  <c r="AI23" i="5"/>
  <c r="AH18" i="5"/>
  <c r="AA18" i="5"/>
  <c r="AI18" i="5"/>
  <c r="AG18" i="5"/>
  <c r="AC18" i="5"/>
  <c r="AD18" i="5"/>
  <c r="AE18" i="5"/>
  <c r="AF18" i="5"/>
  <c r="AH24" i="5"/>
  <c r="AC24" i="5"/>
  <c r="AA24" i="5"/>
  <c r="AD24" i="5"/>
  <c r="AI24" i="5"/>
  <c r="AE24" i="5"/>
  <c r="AF24" i="5"/>
  <c r="AG24" i="5"/>
  <c r="AD38" i="5"/>
  <c r="AE38" i="5"/>
  <c r="AF38" i="5"/>
  <c r="AG38" i="5"/>
  <c r="AC38" i="5"/>
  <c r="B125" i="14" s="1"/>
  <c r="AH38" i="5"/>
  <c r="AA38" i="5"/>
  <c r="AI38" i="5"/>
  <c r="AG43" i="5"/>
  <c r="AE43" i="5"/>
  <c r="AH43" i="5"/>
  <c r="AA43" i="5"/>
  <c r="AI43" i="5"/>
  <c r="AF43" i="5"/>
  <c r="AC43" i="5"/>
  <c r="B140" i="14" s="1"/>
  <c r="AD43" i="5"/>
  <c r="AC16" i="5"/>
  <c r="AD16" i="5"/>
  <c r="AA16" i="5"/>
  <c r="AI16" i="5"/>
  <c r="AE16" i="5"/>
  <c r="AF16" i="5"/>
  <c r="AG16" i="5"/>
  <c r="AH16" i="5"/>
  <c r="AF44" i="5"/>
  <c r="AD44" i="5"/>
  <c r="AG44" i="5"/>
  <c r="AE44" i="5"/>
  <c r="AH44" i="5"/>
  <c r="AA44" i="5"/>
  <c r="AI44" i="5"/>
  <c r="AC44" i="5"/>
  <c r="B143" i="14" s="1"/>
  <c r="AA25" i="5"/>
  <c r="AI25" i="5"/>
  <c r="AH25" i="5"/>
  <c r="AC25" i="5"/>
  <c r="B66" i="14" s="1"/>
  <c r="AD25" i="5"/>
  <c r="AE25" i="5"/>
  <c r="AF25" i="5"/>
  <c r="AG25" i="5"/>
  <c r="AC47" i="5"/>
  <c r="B152" i="14" s="1"/>
  <c r="AD47" i="5"/>
  <c r="AI47" i="5"/>
  <c r="AE47" i="5"/>
  <c r="AF47" i="5"/>
  <c r="AG47" i="5"/>
  <c r="AA47" i="5"/>
  <c r="AH47" i="5"/>
  <c r="AG27" i="5"/>
  <c r="AH27" i="5"/>
  <c r="AA27" i="5"/>
  <c r="AI27" i="5"/>
  <c r="AF27" i="5"/>
  <c r="AC27" i="5"/>
  <c r="B72" i="14" s="1"/>
  <c r="AD27" i="5"/>
  <c r="AE27" i="5"/>
  <c r="AF52" i="5"/>
  <c r="AG52" i="5"/>
  <c r="AH52" i="5"/>
  <c r="AA52" i="5"/>
  <c r="AI52" i="5"/>
  <c r="AD52" i="5"/>
  <c r="AC52" i="5"/>
  <c r="B177" i="14" s="1"/>
  <c r="AE52" i="5"/>
  <c r="AG35" i="5"/>
  <c r="AE35" i="5"/>
  <c r="AH35" i="5"/>
  <c r="AF35" i="5"/>
  <c r="AA35" i="5"/>
  <c r="AI35" i="5"/>
  <c r="AC35" i="5"/>
  <c r="B106" i="14" s="1"/>
  <c r="AD35" i="5"/>
  <c r="AE29" i="5"/>
  <c r="AF29" i="5"/>
  <c r="AG29" i="5"/>
  <c r="AH29" i="5"/>
  <c r="AD29" i="5"/>
  <c r="AA29" i="5"/>
  <c r="AI29" i="5"/>
  <c r="AC29" i="5"/>
  <c r="B88" i="14" s="1"/>
  <c r="AF36" i="5"/>
  <c r="AG36" i="5"/>
  <c r="AH36" i="5"/>
  <c r="AA36" i="5"/>
  <c r="AI36" i="5"/>
  <c r="AE36" i="5"/>
  <c r="AC36" i="5"/>
  <c r="B109" i="14" s="1"/>
  <c r="AD36" i="5"/>
  <c r="AA41" i="5"/>
  <c r="AI41" i="5"/>
  <c r="AC41" i="5"/>
  <c r="B134" i="14" s="1"/>
  <c r="AG41" i="5"/>
  <c r="AD41" i="5"/>
  <c r="AE41" i="5"/>
  <c r="AF41" i="5"/>
  <c r="AH41" i="5"/>
  <c r="AG19" i="5"/>
  <c r="AE19" i="5"/>
  <c r="AH19" i="5"/>
  <c r="AA19" i="5"/>
  <c r="AI19" i="5"/>
  <c r="AF19" i="5"/>
  <c r="AC19" i="5"/>
  <c r="AD19" i="5"/>
  <c r="AE21" i="5"/>
  <c r="AC21" i="5"/>
  <c r="AF21" i="5"/>
  <c r="AG21" i="5"/>
  <c r="AD21" i="5"/>
  <c r="AH21" i="5"/>
  <c r="AA21" i="5"/>
  <c r="AI21" i="5"/>
  <c r="AC31" i="5"/>
  <c r="B94" i="14" s="1"/>
  <c r="AD31" i="5"/>
  <c r="AA31" i="5"/>
  <c r="AE31" i="5"/>
  <c r="AF31" i="5"/>
  <c r="AG31" i="5"/>
  <c r="AH31" i="5"/>
  <c r="AI31" i="5"/>
  <c r="AD22" i="5"/>
  <c r="AE22" i="5"/>
  <c r="AF22" i="5"/>
  <c r="AG22" i="5"/>
  <c r="AH22" i="5"/>
  <c r="AC22" i="5"/>
  <c r="AA22" i="5"/>
  <c r="AI22" i="5"/>
  <c r="AH26" i="5"/>
  <c r="AF26" i="5"/>
  <c r="AA26" i="5"/>
  <c r="AI26" i="5"/>
  <c r="AC26" i="5"/>
  <c r="B69" i="14" s="1"/>
  <c r="AD26" i="5"/>
  <c r="AG26" i="5"/>
  <c r="AE26" i="5"/>
  <c r="AA17" i="5"/>
  <c r="AI17" i="5"/>
  <c r="AG17" i="5"/>
  <c r="AC17" i="5"/>
  <c r="AD17" i="5"/>
  <c r="AE17" i="5"/>
  <c r="AH17" i="5"/>
  <c r="AF17" i="5"/>
  <c r="AG51" i="5"/>
  <c r="AE51" i="5"/>
  <c r="AH51" i="5"/>
  <c r="AF51" i="5"/>
  <c r="AA51" i="5"/>
  <c r="AI51" i="5"/>
  <c r="AC51" i="5"/>
  <c r="B174" i="14" s="1"/>
  <c r="AD51" i="5"/>
  <c r="AC32" i="5"/>
  <c r="B97" i="14" s="1"/>
  <c r="AI32" i="5"/>
  <c r="AD32" i="5"/>
  <c r="AE32" i="5"/>
  <c r="AF32" i="5"/>
  <c r="AH32" i="5"/>
  <c r="AG32" i="5"/>
  <c r="AA32" i="5"/>
  <c r="AC55" i="5"/>
  <c r="B186" i="14" s="1"/>
  <c r="AD55" i="5"/>
  <c r="AE55" i="5"/>
  <c r="AF55" i="5"/>
  <c r="AA55" i="5"/>
  <c r="AG55" i="5"/>
  <c r="AH55" i="5"/>
  <c r="AI55" i="5"/>
  <c r="AF28" i="5"/>
  <c r="AD28" i="5"/>
  <c r="AG28" i="5"/>
  <c r="AE28" i="5"/>
  <c r="AH28" i="5"/>
  <c r="AA28" i="5"/>
  <c r="AI28" i="5"/>
  <c r="AC28" i="5"/>
  <c r="B85" i="14" s="1"/>
  <c r="AE53" i="5"/>
  <c r="AF53" i="5"/>
  <c r="AC53" i="5"/>
  <c r="B180" i="14" s="1"/>
  <c r="AG53" i="5"/>
  <c r="AH53" i="5"/>
  <c r="AD53" i="5"/>
  <c r="AA53" i="5"/>
  <c r="AI53" i="5"/>
  <c r="AA57" i="5"/>
  <c r="AI57" i="5"/>
  <c r="AC57" i="5"/>
  <c r="B192" i="14" s="1"/>
  <c r="AH57" i="5"/>
  <c r="AD57" i="5"/>
  <c r="AE57" i="5"/>
  <c r="AG57" i="5"/>
  <c r="AF57" i="5"/>
  <c r="AA49" i="5"/>
  <c r="AI49" i="5"/>
  <c r="AC49" i="5"/>
  <c r="B168" i="14" s="1"/>
  <c r="AH49" i="5"/>
  <c r="AD49" i="5"/>
  <c r="AG49" i="5"/>
  <c r="AE49" i="5"/>
  <c r="AF49" i="5"/>
  <c r="AE45" i="5"/>
  <c r="AF45" i="5"/>
  <c r="AG45" i="5"/>
  <c r="AH45" i="5"/>
  <c r="AA45" i="5"/>
  <c r="AI45" i="5"/>
  <c r="AD45" i="5"/>
  <c r="AC45" i="5"/>
  <c r="B146" i="14" s="1"/>
  <c r="AH42" i="5"/>
  <c r="AA42" i="5"/>
  <c r="AI42" i="5"/>
  <c r="AG42" i="5"/>
  <c r="AC42" i="5"/>
  <c r="B137" i="14" s="1"/>
  <c r="AF42" i="5"/>
  <c r="AD42" i="5"/>
  <c r="AE42" i="5"/>
  <c r="AC56" i="5"/>
  <c r="B189" i="14" s="1"/>
  <c r="AH56" i="5"/>
  <c r="AA56" i="5"/>
  <c r="AD56" i="5"/>
  <c r="AE56" i="5"/>
  <c r="AF56" i="5"/>
  <c r="AG56" i="5"/>
  <c r="AI56" i="5"/>
  <c r="AC40" i="5"/>
  <c r="B131" i="14" s="1"/>
  <c r="AD40" i="5"/>
  <c r="AA40" i="5"/>
  <c r="AE40" i="5"/>
  <c r="AF40" i="5"/>
  <c r="AH40" i="5"/>
  <c r="AI40" i="5"/>
  <c r="AG40" i="5"/>
  <c r="AC39" i="5"/>
  <c r="B128" i="14" s="1"/>
  <c r="AA39" i="5"/>
  <c r="AD39" i="5"/>
  <c r="AI39" i="5"/>
  <c r="AE39" i="5"/>
  <c r="AF39" i="5"/>
  <c r="AG39" i="5"/>
  <c r="AH39" i="5"/>
  <c r="AD54" i="5"/>
  <c r="AE54" i="5"/>
  <c r="AF54" i="5"/>
  <c r="AG54" i="5"/>
  <c r="AH54" i="5"/>
  <c r="AC54" i="5"/>
  <c r="B183" i="14" s="1"/>
  <c r="AA54" i="5"/>
  <c r="AI54" i="5"/>
  <c r="T46" i="18"/>
  <c r="G12" i="10"/>
  <c r="H12" i="10"/>
  <c r="H13" i="10"/>
  <c r="H14" i="10"/>
  <c r="H10" i="10"/>
  <c r="G10"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F49" i="10"/>
  <c r="E49" i="10" s="1"/>
  <c r="F50" i="10"/>
  <c r="E50" i="10" s="1"/>
  <c r="F51" i="10"/>
  <c r="E51" i="10" s="1"/>
  <c r="E16" i="10"/>
  <c r="F12" i="10"/>
  <c r="AO3" i="5"/>
  <c r="AO1" i="5"/>
  <c r="AO2" i="5"/>
  <c r="H48" i="18" l="1"/>
  <c r="K47" i="18"/>
  <c r="A48" i="2" s="1"/>
  <c r="T15" i="4"/>
  <c r="T52" i="4"/>
  <c r="T36" i="4"/>
  <c r="T22" i="4"/>
  <c r="S41" i="4"/>
  <c r="J41" i="4" s="1"/>
  <c r="S48" i="4"/>
  <c r="J48" i="4" s="1"/>
  <c r="T9" i="4"/>
  <c r="T41" i="4"/>
  <c r="S37" i="4"/>
  <c r="J37" i="4" s="1"/>
  <c r="S18" i="4"/>
  <c r="J18" i="4" s="1"/>
  <c r="T48" i="4"/>
  <c r="T27" i="4"/>
  <c r="T20" i="4"/>
  <c r="T10" i="4"/>
  <c r="T39" i="4"/>
  <c r="S9" i="4"/>
  <c r="J9" i="4" s="1"/>
  <c r="S57" i="4"/>
  <c r="J57" i="4" s="1"/>
  <c r="S50" i="4"/>
  <c r="J50" i="4" s="1"/>
  <c r="S52" i="4"/>
  <c r="J52" i="4" s="1"/>
  <c r="T21" i="4"/>
  <c r="S53" i="4"/>
  <c r="J53" i="4" s="1"/>
  <c r="S43" i="4"/>
  <c r="J43" i="4" s="1"/>
  <c r="S23" i="4"/>
  <c r="J23" i="4" s="1"/>
  <c r="T47" i="4"/>
  <c r="T13" i="4"/>
  <c r="S10" i="4"/>
  <c r="J10" i="4" s="1"/>
  <c r="S44" i="4"/>
  <c r="J44" i="4" s="1"/>
  <c r="T46" i="4"/>
  <c r="S24" i="4"/>
  <c r="J24" i="4" s="1"/>
  <c r="T51" i="4"/>
  <c r="T33" i="4"/>
  <c r="T37" i="4"/>
  <c r="S32" i="4"/>
  <c r="J32" i="4" s="1"/>
  <c r="T11" i="4"/>
  <c r="S47" i="4"/>
  <c r="J47" i="4" s="1"/>
  <c r="T34" i="4"/>
  <c r="S19" i="4"/>
  <c r="J19" i="4" s="1"/>
  <c r="T38" i="4"/>
  <c r="T17" i="4"/>
  <c r="S49" i="4"/>
  <c r="J49" i="4" s="1"/>
  <c r="S22" i="4"/>
  <c r="J22" i="4" s="1"/>
  <c r="S56" i="4"/>
  <c r="J56" i="4" s="1"/>
  <c r="T55" i="4"/>
  <c r="S26" i="4"/>
  <c r="J26" i="4" s="1"/>
  <c r="T50" i="4"/>
  <c r="S34" i="4"/>
  <c r="J34" i="4" s="1"/>
  <c r="T16" i="4"/>
  <c r="S54" i="4"/>
  <c r="J54" i="4" s="1"/>
  <c r="S21" i="4"/>
  <c r="J21" i="4" s="1"/>
  <c r="S27" i="4"/>
  <c r="J27" i="4" s="1"/>
  <c r="T57" i="4"/>
  <c r="S36" i="4"/>
  <c r="J36" i="4" s="1"/>
  <c r="S45" i="4"/>
  <c r="J45" i="4" s="1"/>
  <c r="T29" i="4"/>
  <c r="T18" i="4"/>
  <c r="S30" i="4"/>
  <c r="J30" i="4" s="1"/>
  <c r="S12" i="4"/>
  <c r="J12" i="4" s="1"/>
  <c r="S16" i="4"/>
  <c r="J16" i="4" s="1"/>
  <c r="T35" i="4"/>
  <c r="T45" i="4"/>
  <c r="T25" i="4"/>
  <c r="S11" i="4"/>
  <c r="J11" i="4" s="1"/>
  <c r="S15" i="4"/>
  <c r="J15" i="4" s="1"/>
  <c r="T28" i="4"/>
  <c r="T53" i="4"/>
  <c r="S40" i="4"/>
  <c r="J40" i="4" s="1"/>
  <c r="T23" i="4"/>
  <c r="S17" i="4"/>
  <c r="J17" i="4" s="1"/>
  <c r="T40" i="4"/>
  <c r="T30" i="4"/>
  <c r="T12" i="4"/>
  <c r="S46" i="4"/>
  <c r="J46" i="4" s="1"/>
  <c r="T43" i="4"/>
  <c r="S51" i="4"/>
  <c r="J51" i="4" s="1"/>
  <c r="T54" i="4"/>
  <c r="T32" i="4"/>
  <c r="S31" i="4"/>
  <c r="J31" i="4" s="1"/>
  <c r="S42" i="4"/>
  <c r="J42" i="4" s="1"/>
  <c r="T24" i="4"/>
  <c r="S28" i="4"/>
  <c r="J28" i="4" s="1"/>
  <c r="S39" i="4"/>
  <c r="J39" i="4" s="1"/>
  <c r="T31" i="4"/>
  <c r="S29" i="4"/>
  <c r="J29" i="4" s="1"/>
  <c r="T56" i="4"/>
  <c r="T14" i="4"/>
  <c r="T26" i="4"/>
  <c r="T44" i="4"/>
  <c r="T49" i="4"/>
  <c r="S33" i="4"/>
  <c r="J33" i="4" s="1"/>
  <c r="S13" i="4"/>
  <c r="J13" i="4" s="1"/>
  <c r="S55" i="4"/>
  <c r="J55" i="4" s="1"/>
  <c r="S38" i="4"/>
  <c r="J38" i="4" s="1"/>
  <c r="S25" i="4"/>
  <c r="J25" i="4" s="1"/>
  <c r="S20" i="4"/>
  <c r="J20" i="4" s="1"/>
  <c r="S35" i="4"/>
  <c r="J35" i="4" s="1"/>
  <c r="T42" i="4"/>
  <c r="T19" i="4"/>
  <c r="S14" i="4"/>
  <c r="J14" i="4" s="1"/>
  <c r="T47" i="18"/>
  <c r="S8" i="4"/>
  <c r="J8" i="4" s="1"/>
  <c r="H48" i="10"/>
  <c r="H45" i="10"/>
  <c r="H50" i="10"/>
  <c r="H47" i="10"/>
  <c r="H37" i="10"/>
  <c r="H31" i="10"/>
  <c r="H29" i="10"/>
  <c r="H23" i="10"/>
  <c r="H51" i="10"/>
  <c r="H21" i="10"/>
  <c r="H39" i="10"/>
  <c r="H16" i="10"/>
  <c r="H46" i="10"/>
  <c r="H38" i="10"/>
  <c r="H30" i="10"/>
  <c r="H22" i="10"/>
  <c r="H44" i="10"/>
  <c r="H36" i="10"/>
  <c r="H28" i="10"/>
  <c r="H20" i="10"/>
  <c r="H49" i="10"/>
  <c r="H43" i="10"/>
  <c r="H35" i="10"/>
  <c r="H27" i="10"/>
  <c r="H19" i="10"/>
  <c r="H42" i="10"/>
  <c r="H34" i="10"/>
  <c r="H26" i="10"/>
  <c r="H18" i="10"/>
  <c r="H41" i="10"/>
  <c r="H33" i="10"/>
  <c r="H25" i="10"/>
  <c r="H17" i="10"/>
  <c r="H40" i="10"/>
  <c r="H32" i="10"/>
  <c r="H24" i="10"/>
  <c r="X17" i="8"/>
  <c r="X20" i="8"/>
  <c r="AE20" i="8"/>
  <c r="T8" i="4"/>
  <c r="N3" i="9"/>
  <c r="N2" i="9"/>
  <c r="A3" i="8"/>
  <c r="A4" i="6"/>
  <c r="A3" i="4"/>
  <c r="A4" i="5"/>
  <c r="Z8" i="8"/>
  <c r="AN14" i="5"/>
  <c r="AN15" i="5"/>
  <c r="AN11" i="5"/>
  <c r="AN13" i="5"/>
  <c r="AN12" i="5"/>
  <c r="AQ12" i="5"/>
  <c r="AQ15" i="5"/>
  <c r="AQ14" i="5"/>
  <c r="AQ13" i="5"/>
  <c r="AQ11" i="5"/>
  <c r="AN10" i="5"/>
  <c r="AN9" i="5"/>
  <c r="AN8" i="5"/>
  <c r="AQ10" i="5"/>
  <c r="AQ9" i="5"/>
  <c r="S53" i="14" a="1"/>
  <c r="S54" i="14" a="1"/>
  <c r="H49" i="18" l="1"/>
  <c r="K49" i="18" s="1"/>
  <c r="K48" i="18"/>
  <c r="A49" i="2" s="1"/>
  <c r="AB12" i="5"/>
  <c r="AB10" i="5"/>
  <c r="AB13" i="5"/>
  <c r="AB9" i="5"/>
  <c r="AB11" i="5"/>
  <c r="AB14" i="5"/>
  <c r="T14" i="6"/>
  <c r="T8" i="6"/>
  <c r="T10" i="6"/>
  <c r="T12" i="6"/>
  <c r="T13" i="6"/>
  <c r="T9" i="6"/>
  <c r="B63" i="14"/>
  <c r="B51" i="14"/>
  <c r="B54" i="14"/>
  <c r="B48" i="14"/>
  <c r="B45" i="14"/>
  <c r="B32" i="14"/>
  <c r="B60" i="14"/>
  <c r="B29" i="14"/>
  <c r="B57" i="14"/>
  <c r="T48" i="18"/>
  <c r="AT8" i="4"/>
  <c r="S54" i="14"/>
  <c r="W54" i="14" s="1" a="1"/>
  <c r="W54" i="14" s="1"/>
  <c r="S53" i="14"/>
  <c r="AN17" i="8"/>
  <c r="X21" i="8"/>
  <c r="X15" i="8"/>
  <c r="I3" i="9"/>
  <c r="X18" i="8"/>
  <c r="X16" i="8"/>
  <c r="X53" i="8"/>
  <c r="X51" i="8"/>
  <c r="X49" i="8"/>
  <c r="X46" i="8"/>
  <c r="X43" i="8"/>
  <c r="X34" i="8"/>
  <c r="X31" i="8"/>
  <c r="X29" i="8"/>
  <c r="X26" i="8"/>
  <c r="X23" i="8"/>
  <c r="Z9" i="8"/>
  <c r="AQ8" i="5"/>
  <c r="S22" i="14" a="1"/>
  <c r="S14" i="14" a="1"/>
  <c r="S38" i="14" a="1"/>
  <c r="S42" i="14" a="1"/>
  <c r="S19" i="14" a="1"/>
  <c r="S40" i="14" a="1"/>
  <c r="S27" i="14" a="1"/>
  <c r="S26" i="14" a="1"/>
  <c r="S28" i="14" a="1"/>
  <c r="S39" i="14" a="1"/>
  <c r="S16" i="14" a="1"/>
  <c r="S13" i="14" a="1"/>
  <c r="S31" i="14" a="1"/>
  <c r="S21" i="14" a="1"/>
  <c r="S33" i="14" a="1"/>
  <c r="S43" i="14" a="1"/>
  <c r="S51" i="14" a="1"/>
  <c r="S49" i="14" a="1"/>
  <c r="S50" i="14" a="1"/>
  <c r="S52" i="14" a="1"/>
  <c r="S24" i="14" a="1"/>
  <c r="S36" i="14" a="1"/>
  <c r="S29" i="14" a="1"/>
  <c r="S48" i="14" a="1"/>
  <c r="S35" i="14" a="1"/>
  <c r="S45" i="14" a="1"/>
  <c r="S30" i="14" a="1"/>
  <c r="S47" i="14" a="1"/>
  <c r="S23" i="14" a="1"/>
  <c r="S44" i="14" a="1"/>
  <c r="S20" i="14" a="1"/>
  <c r="S34" i="14" a="1"/>
  <c r="S37" i="14" a="1"/>
  <c r="S46" i="14" a="1"/>
  <c r="S17" i="14" a="1"/>
  <c r="S18" i="14" a="1"/>
  <c r="S41" i="14" a="1"/>
  <c r="S15" i="14" a="1"/>
  <c r="S25" i="14" a="1"/>
  <c r="AB8" i="5" l="1"/>
  <c r="AE8" i="5" s="1"/>
  <c r="A50" i="2"/>
  <c r="AB15" i="5"/>
  <c r="AD14" i="5"/>
  <c r="AE14" i="5"/>
  <c r="AF14" i="5"/>
  <c r="AA14" i="5" s="1"/>
  <c r="AC14" i="5"/>
  <c r="B23" i="14" s="1"/>
  <c r="AG14" i="5"/>
  <c r="AH14" i="5"/>
  <c r="AG11" i="5"/>
  <c r="AH11" i="5"/>
  <c r="AF11" i="5"/>
  <c r="AA11" i="5" s="1"/>
  <c r="AE11" i="5"/>
  <c r="AC11" i="5"/>
  <c r="B14" i="14" s="1"/>
  <c r="AD11" i="5"/>
  <c r="AC9" i="5"/>
  <c r="B8" i="14" s="1"/>
  <c r="AD9" i="5"/>
  <c r="AE9" i="5"/>
  <c r="AH9" i="5"/>
  <c r="AF9" i="5"/>
  <c r="AA9" i="5" s="1"/>
  <c r="AG9" i="5"/>
  <c r="AE13" i="5"/>
  <c r="AF13" i="5"/>
  <c r="AA13" i="5" s="1"/>
  <c r="AC13" i="5"/>
  <c r="B20" i="14" s="1"/>
  <c r="AG13" i="5"/>
  <c r="AH13" i="5"/>
  <c r="AD13" i="5"/>
  <c r="AH10" i="5"/>
  <c r="AG10" i="5"/>
  <c r="AC10" i="5"/>
  <c r="B11" i="14" s="1"/>
  <c r="AD10" i="5"/>
  <c r="AF10" i="5"/>
  <c r="AA10" i="5" s="1"/>
  <c r="AE10" i="5"/>
  <c r="AF12" i="5"/>
  <c r="AA12" i="5" s="1"/>
  <c r="AG12" i="5"/>
  <c r="AH12" i="5"/>
  <c r="AD12" i="5"/>
  <c r="AE12" i="5"/>
  <c r="AC12" i="5"/>
  <c r="B17" i="14" s="1"/>
  <c r="I4" i="4"/>
  <c r="T49" i="18"/>
  <c r="AB53" i="4"/>
  <c r="AB55" i="4"/>
  <c r="AB48" i="4"/>
  <c r="AB50" i="4"/>
  <c r="AS8" i="4"/>
  <c r="AT6" i="4" a="1"/>
  <c r="AT6" i="4" s="1"/>
  <c r="AB52" i="4"/>
  <c r="AB51" i="4"/>
  <c r="AB46" i="4"/>
  <c r="AB56" i="4"/>
  <c r="AB57" i="4"/>
  <c r="AB54" i="4"/>
  <c r="AB47" i="4"/>
  <c r="AB49" i="4"/>
  <c r="AB54" i="14" a="1"/>
  <c r="AB54" i="14" s="1"/>
  <c r="V54" i="14" a="1"/>
  <c r="V54" i="14" s="1"/>
  <c r="T54" i="14" a="1"/>
  <c r="T54" i="14" s="1"/>
  <c r="U54" i="14" a="1"/>
  <c r="U54" i="14" s="1"/>
  <c r="X54" i="14" a="1"/>
  <c r="X54" i="14" s="1"/>
  <c r="AA54" i="14" a="1"/>
  <c r="AA54" i="14" s="1"/>
  <c r="Z54" i="14" a="1"/>
  <c r="Z54" i="14" s="1"/>
  <c r="Y54" i="14" a="1"/>
  <c r="Y54" i="14" s="1"/>
  <c r="S47" i="14"/>
  <c r="X47" i="14" s="1" a="1"/>
  <c r="S42" i="14"/>
  <c r="AB42" i="14" s="1" a="1"/>
  <c r="S43" i="14"/>
  <c r="AB43" i="14" s="1" a="1"/>
  <c r="S45" i="14"/>
  <c r="S51" i="14"/>
  <c r="AB51" i="14" s="1" a="1"/>
  <c r="S48" i="14"/>
  <c r="V48" i="14" s="1" a="1"/>
  <c r="S36" i="14"/>
  <c r="Z36" i="14" s="1" a="1"/>
  <c r="S49" i="14"/>
  <c r="V49" i="14" s="1" a="1"/>
  <c r="S37" i="14"/>
  <c r="Y37" i="14" s="1" a="1"/>
  <c r="S46" i="14"/>
  <c r="U46" i="14" s="1" a="1"/>
  <c r="S44" i="14"/>
  <c r="Y44" i="14" s="1" a="1"/>
  <c r="S40" i="14"/>
  <c r="Z40" i="14" s="1" a="1"/>
  <c r="S41" i="14"/>
  <c r="W41" i="14" s="1" a="1"/>
  <c r="S39" i="14"/>
  <c r="U39" i="14" s="1" a="1"/>
  <c r="S52" i="14"/>
  <c r="S38" i="14"/>
  <c r="Y38" i="14" s="1" a="1"/>
  <c r="S50" i="14"/>
  <c r="AB50" i="14" s="1" a="1"/>
  <c r="S35" i="14"/>
  <c r="AB53" i="14" a="1"/>
  <c r="AB53" i="14" s="1"/>
  <c r="AA53" i="14" a="1"/>
  <c r="AA53" i="14" s="1"/>
  <c r="V53" i="14" a="1"/>
  <c r="V53" i="14" s="1"/>
  <c r="U53" i="14" a="1"/>
  <c r="U53" i="14" s="1"/>
  <c r="Z53" i="14" a="1"/>
  <c r="Z53" i="14" s="1"/>
  <c r="W53" i="14" a="1"/>
  <c r="W53" i="14" s="1"/>
  <c r="T53" i="14" a="1"/>
  <c r="T53" i="14" s="1"/>
  <c r="X53" i="14" a="1"/>
  <c r="X53" i="14" s="1"/>
  <c r="Y53" i="14" a="1"/>
  <c r="Y53" i="14" s="1"/>
  <c r="S17" i="14"/>
  <c r="S22" i="14"/>
  <c r="S15" i="14"/>
  <c r="S33" i="14"/>
  <c r="S29" i="14"/>
  <c r="S23" i="14"/>
  <c r="S13" i="14"/>
  <c r="S34" i="14"/>
  <c r="S31" i="14"/>
  <c r="S20" i="14"/>
  <c r="S28" i="14"/>
  <c r="S25" i="14"/>
  <c r="S14" i="14"/>
  <c r="S24" i="14"/>
  <c r="S18" i="14"/>
  <c r="S27" i="14"/>
  <c r="S30" i="14"/>
  <c r="S16" i="14"/>
  <c r="S26" i="14"/>
  <c r="S19" i="14"/>
  <c r="S21" i="14"/>
  <c r="AE21" i="8"/>
  <c r="AE17" i="8"/>
  <c r="AE15" i="8"/>
  <c r="AE18" i="8"/>
  <c r="AE16" i="8"/>
  <c r="AE46" i="8"/>
  <c r="AE26" i="8"/>
  <c r="AE29" i="8"/>
  <c r="AE53" i="8"/>
  <c r="AE43" i="8"/>
  <c r="AE41" i="8"/>
  <c r="AE51" i="8"/>
  <c r="AE23" i="8"/>
  <c r="AE34" i="8"/>
  <c r="AE31" i="8"/>
  <c r="AE49" i="8"/>
  <c r="AI14" i="5"/>
  <c r="AI11" i="5"/>
  <c r="AI12" i="5"/>
  <c r="AI13" i="5"/>
  <c r="AI10" i="5"/>
  <c r="AI9" i="5"/>
  <c r="AS3" i="4"/>
  <c r="S7" i="14" a="1"/>
  <c r="S8" i="14" a="1"/>
  <c r="S9" i="14" a="1"/>
  <c r="S10" i="14" a="1"/>
  <c r="S11" i="14" a="1"/>
  <c r="S6" i="14" a="1"/>
  <c r="X35" i="14" a="1"/>
  <c r="X45" i="14" a="1"/>
  <c r="S32" i="14" a="1"/>
  <c r="AI8" i="5" l="1"/>
  <c r="AC8" i="5"/>
  <c r="B5" i="14" s="1"/>
  <c r="AH8" i="5"/>
  <c r="AD8" i="5"/>
  <c r="AF8" i="5"/>
  <c r="AA8" i="5" s="1"/>
  <c r="AG8" i="5"/>
  <c r="AH54" i="4"/>
  <c r="AI54" i="4"/>
  <c r="AC54" i="4"/>
  <c r="AM54" i="4" s="1"/>
  <c r="AN54" i="4"/>
  <c r="AE54" i="4"/>
  <c r="AG54" i="4"/>
  <c r="AD54" i="4"/>
  <c r="AF54" i="4"/>
  <c r="AH46" i="4"/>
  <c r="AI46" i="4"/>
  <c r="AC46" i="4"/>
  <c r="AM46" i="4" s="1"/>
  <c r="AN46" i="4"/>
  <c r="AD46" i="4"/>
  <c r="AE46" i="4"/>
  <c r="AF46" i="4"/>
  <c r="AG46" i="4"/>
  <c r="AC49" i="4"/>
  <c r="AM49" i="4" s="1"/>
  <c r="AN49" i="4"/>
  <c r="AF49" i="4"/>
  <c r="AD49" i="4"/>
  <c r="AE49" i="4"/>
  <c r="AG49" i="4"/>
  <c r="AH49" i="4"/>
  <c r="AI49" i="4"/>
  <c r="AF55" i="4"/>
  <c r="AG55" i="4"/>
  <c r="AH55" i="4"/>
  <c r="AI55" i="4"/>
  <c r="AC55" i="4"/>
  <c r="AM55" i="4" s="1"/>
  <c r="AN55" i="4"/>
  <c r="AE55" i="4"/>
  <c r="AD55" i="4"/>
  <c r="AC57" i="4"/>
  <c r="AM57" i="4" s="1"/>
  <c r="AN57" i="4"/>
  <c r="AD57" i="4"/>
  <c r="AE57" i="4"/>
  <c r="AG57" i="4"/>
  <c r="AH57" i="4"/>
  <c r="AI57" i="4"/>
  <c r="AF57" i="4"/>
  <c r="AD52" i="4"/>
  <c r="AE52" i="4"/>
  <c r="AF52" i="4"/>
  <c r="AG52" i="4"/>
  <c r="AI52" i="4"/>
  <c r="AH52" i="4"/>
  <c r="AN52" i="4"/>
  <c r="AC52" i="4"/>
  <c r="AM52" i="4" s="1"/>
  <c r="AF47" i="4"/>
  <c r="AG47" i="4"/>
  <c r="AH47" i="4"/>
  <c r="AI47" i="4"/>
  <c r="AC47" i="4"/>
  <c r="AM47" i="4" s="1"/>
  <c r="AN47" i="4"/>
  <c r="AE47" i="4"/>
  <c r="AD47" i="4"/>
  <c r="AD56" i="4"/>
  <c r="AE56" i="4"/>
  <c r="AF56" i="4"/>
  <c r="AG56" i="4"/>
  <c r="AI56" i="4"/>
  <c r="AN56" i="4"/>
  <c r="AC56" i="4"/>
  <c r="AM56" i="4" s="1"/>
  <c r="AH56" i="4"/>
  <c r="AF51" i="4"/>
  <c r="AG51" i="4"/>
  <c r="AH51" i="4"/>
  <c r="AI51" i="4"/>
  <c r="AC51" i="4"/>
  <c r="AM51" i="4" s="1"/>
  <c r="AN51" i="4"/>
  <c r="AD51" i="4"/>
  <c r="AE51" i="4"/>
  <c r="AH50" i="4"/>
  <c r="AI50" i="4"/>
  <c r="AC50" i="4"/>
  <c r="AM50" i="4" s="1"/>
  <c r="AN50" i="4"/>
  <c r="AE50" i="4"/>
  <c r="AF50" i="4"/>
  <c r="AG50" i="4"/>
  <c r="AD50" i="4"/>
  <c r="AD48" i="4"/>
  <c r="AE48" i="4"/>
  <c r="AF48" i="4"/>
  <c r="AG48" i="4"/>
  <c r="AH48" i="4"/>
  <c r="AI48" i="4"/>
  <c r="AN48" i="4"/>
  <c r="AC48" i="4"/>
  <c r="AM48" i="4" s="1"/>
  <c r="AC53" i="4"/>
  <c r="AM53" i="4" s="1"/>
  <c r="AN53" i="4"/>
  <c r="AD53" i="4"/>
  <c r="AE53" i="4"/>
  <c r="AG53" i="4"/>
  <c r="AF53" i="4"/>
  <c r="AH53" i="4"/>
  <c r="AI53" i="4"/>
  <c r="AC15" i="5"/>
  <c r="B26" i="14" s="1"/>
  <c r="AD15" i="5"/>
  <c r="AE15" i="5"/>
  <c r="AF15" i="5"/>
  <c r="AA15" i="5" s="1"/>
  <c r="AG15" i="5"/>
  <c r="AH15" i="5"/>
  <c r="S10" i="14"/>
  <c r="Z10" i="14" s="1" a="1"/>
  <c r="S9" i="14"/>
  <c r="Z9" i="14" s="1" a="1"/>
  <c r="S11" i="14"/>
  <c r="AA11" i="14" s="1" a="1"/>
  <c r="V8" i="4"/>
  <c r="Z51" i="14" a="1"/>
  <c r="Z51" i="14" s="1"/>
  <c r="U47" i="14" a="1"/>
  <c r="U47" i="14" s="1"/>
  <c r="X42" i="14" a="1"/>
  <c r="X42" i="14" s="1"/>
  <c r="V43" i="14" a="1"/>
  <c r="V43" i="14" s="1"/>
  <c r="AB46" i="14" a="1"/>
  <c r="AB46" i="14" s="1"/>
  <c r="T44" i="14" a="1"/>
  <c r="T44" i="14" s="1"/>
  <c r="V44" i="14" a="1"/>
  <c r="V44" i="14" s="1"/>
  <c r="AA43" i="14" a="1"/>
  <c r="AA43" i="14" s="1"/>
  <c r="AA40" i="14" a="1"/>
  <c r="AA40" i="14" s="1"/>
  <c r="AA46" i="14" a="1"/>
  <c r="AA46" i="14" s="1"/>
  <c r="W39" i="14" a="1"/>
  <c r="W39" i="14" s="1"/>
  <c r="V42" i="14" a="1"/>
  <c r="V42" i="14" s="1"/>
  <c r="U42" i="14" a="1"/>
  <c r="U42" i="14" s="1"/>
  <c r="W46" i="14" a="1"/>
  <c r="W46" i="14" s="1"/>
  <c r="Z47" i="14" a="1"/>
  <c r="Z47" i="14" s="1"/>
  <c r="T50" i="14" a="1"/>
  <c r="T50" i="14" s="1"/>
  <c r="X37" i="14" a="1"/>
  <c r="X37" i="14" s="1"/>
  <c r="V50" i="14" a="1"/>
  <c r="V50" i="14" s="1"/>
  <c r="U37" i="14" a="1"/>
  <c r="U37" i="14" s="1"/>
  <c r="W47" i="14" a="1"/>
  <c r="W47" i="14" s="1"/>
  <c r="AA50" i="14" a="1"/>
  <c r="AA50" i="14" s="1"/>
  <c r="V41" i="14" a="1"/>
  <c r="V41" i="14" s="1"/>
  <c r="Y43" i="14" a="1"/>
  <c r="Y43" i="14" s="1"/>
  <c r="U44" i="14" a="1"/>
  <c r="U44" i="14" s="1"/>
  <c r="W43" i="14" a="1"/>
  <c r="W43" i="14" s="1"/>
  <c r="AB44" i="14" a="1"/>
  <c r="AB44" i="14" s="1"/>
  <c r="X44" i="14" a="1"/>
  <c r="X44" i="14" s="1"/>
  <c r="Z43" i="14" a="1"/>
  <c r="Z43" i="14" s="1"/>
  <c r="X43" i="14" a="1"/>
  <c r="X43" i="14" s="1"/>
  <c r="U43" i="14" a="1"/>
  <c r="U43" i="14" s="1"/>
  <c r="AA44" i="14" a="1"/>
  <c r="AA44" i="14" s="1"/>
  <c r="W44" i="14" a="1"/>
  <c r="W44" i="14" s="1"/>
  <c r="T43" i="14" a="1"/>
  <c r="T43" i="14" s="1"/>
  <c r="Z44" i="14" a="1"/>
  <c r="Z44" i="14" s="1"/>
  <c r="Z46" i="14" a="1"/>
  <c r="Z46" i="14" s="1"/>
  <c r="X46" i="14" a="1"/>
  <c r="X46" i="14" s="1"/>
  <c r="Z42" i="14" a="1"/>
  <c r="Z42" i="14" s="1"/>
  <c r="T47" i="14" a="1"/>
  <c r="T47" i="14" s="1"/>
  <c r="V37" i="14" a="1"/>
  <c r="V37" i="14" s="1"/>
  <c r="V40" i="14" a="1"/>
  <c r="V40" i="14" s="1"/>
  <c r="Y46" i="14" a="1"/>
  <c r="Y46" i="14" s="1"/>
  <c r="T42" i="14" a="1"/>
  <c r="T42" i="14" s="1"/>
  <c r="Y42" i="14" a="1"/>
  <c r="Y42" i="14" s="1"/>
  <c r="U41" i="14" a="1"/>
  <c r="U41" i="14" s="1"/>
  <c r="T46" i="14" a="1"/>
  <c r="T46" i="14" s="1"/>
  <c r="W42" i="14" a="1"/>
  <c r="W42" i="14" s="1"/>
  <c r="W50" i="14" a="1"/>
  <c r="W50" i="14" s="1"/>
  <c r="AB47" i="14" a="1"/>
  <c r="AB47" i="14" s="1"/>
  <c r="Z41" i="14" a="1"/>
  <c r="Z41" i="14" s="1"/>
  <c r="Y51" i="14" a="1"/>
  <c r="Y51" i="14" s="1"/>
  <c r="V46" i="14" a="1"/>
  <c r="V46" i="14" s="1"/>
  <c r="AA42" i="14" a="1"/>
  <c r="AA42" i="14" s="1"/>
  <c r="X50" i="14" a="1"/>
  <c r="X50" i="14" s="1"/>
  <c r="AA37" i="14" a="1"/>
  <c r="AA37" i="14" s="1"/>
  <c r="T51" i="14" a="1"/>
  <c r="T51" i="14" s="1"/>
  <c r="U36" i="14" a="1"/>
  <c r="U36" i="14" s="1"/>
  <c r="X38" i="14" a="1"/>
  <c r="X38" i="14" s="1"/>
  <c r="W37" i="14" a="1"/>
  <c r="W37" i="14" s="1"/>
  <c r="T41" i="14" a="1"/>
  <c r="T41" i="14" s="1"/>
  <c r="W51" i="14" a="1"/>
  <c r="W51" i="14" s="1"/>
  <c r="U50" i="14" a="1"/>
  <c r="U50" i="14" s="1"/>
  <c r="Y47" i="14" a="1"/>
  <c r="Y47" i="14" s="1"/>
  <c r="AB37" i="14" a="1"/>
  <c r="AB37" i="14" s="1"/>
  <c r="Y41" i="14" a="1"/>
  <c r="Y41" i="14" s="1"/>
  <c r="AA51" i="14" a="1"/>
  <c r="AA51" i="14" s="1"/>
  <c r="Z50" i="14" a="1"/>
  <c r="Z50" i="14" s="1"/>
  <c r="AA47" i="14" a="1"/>
  <c r="AA47" i="14" s="1"/>
  <c r="T37" i="14" a="1"/>
  <c r="T37" i="14" s="1"/>
  <c r="AA41" i="14" a="1"/>
  <c r="AA41" i="14" s="1"/>
  <c r="U51" i="14" a="1"/>
  <c r="U51" i="14" s="1"/>
  <c r="Y50" i="14" a="1"/>
  <c r="Y50" i="14" s="1"/>
  <c r="V47" i="14" a="1"/>
  <c r="V47" i="14" s="1"/>
  <c r="Z37" i="14" a="1"/>
  <c r="Z37" i="14" s="1"/>
  <c r="AB41" i="14" a="1"/>
  <c r="AB41" i="14" s="1"/>
  <c r="X41" i="14" a="1"/>
  <c r="X41" i="14" s="1"/>
  <c r="V51" i="14" a="1"/>
  <c r="V51" i="14" s="1"/>
  <c r="X51" i="14" a="1"/>
  <c r="X51" i="14" s="1"/>
  <c r="U49" i="14" a="1"/>
  <c r="U49" i="14" s="1"/>
  <c r="T36" i="14" a="1"/>
  <c r="T36" i="14" s="1"/>
  <c r="Y36" i="14" a="1"/>
  <c r="Y36" i="14" s="1"/>
  <c r="AA36" i="14" a="1"/>
  <c r="AA36" i="14" s="1"/>
  <c r="W36" i="14" a="1"/>
  <c r="W36" i="14" s="1"/>
  <c r="AB36" i="14" a="1"/>
  <c r="AB36" i="14" s="1"/>
  <c r="V36" i="14" a="1"/>
  <c r="V36" i="14" s="1"/>
  <c r="X36" i="14" a="1"/>
  <c r="X36" i="14" s="1"/>
  <c r="U40" i="14" a="1"/>
  <c r="U40" i="14" s="1"/>
  <c r="X40" i="14" a="1"/>
  <c r="X40" i="14" s="1"/>
  <c r="Y40" i="14" a="1"/>
  <c r="Y40" i="14" s="1"/>
  <c r="T40" i="14" a="1"/>
  <c r="T40" i="14" s="1"/>
  <c r="W40" i="14" a="1"/>
  <c r="W40" i="14" s="1"/>
  <c r="AB40" i="14" a="1"/>
  <c r="AB40" i="14" s="1"/>
  <c r="W38" i="14" a="1"/>
  <c r="W38" i="14" s="1"/>
  <c r="T49" i="14" a="1"/>
  <c r="T49" i="14" s="1"/>
  <c r="Z38" i="14" a="1"/>
  <c r="Z38" i="14" s="1"/>
  <c r="U38" i="14" a="1"/>
  <c r="U38" i="14" s="1"/>
  <c r="AA49" i="14" a="1"/>
  <c r="AA49" i="14" s="1"/>
  <c r="T38" i="14" a="1"/>
  <c r="T38" i="14" s="1"/>
  <c r="W49" i="14" a="1"/>
  <c r="W49" i="14" s="1"/>
  <c r="Y49" i="14" a="1"/>
  <c r="Y49" i="14" s="1"/>
  <c r="AA38" i="14" a="1"/>
  <c r="AA38" i="14" s="1"/>
  <c r="Z49" i="14" a="1"/>
  <c r="Z49" i="14" s="1"/>
  <c r="V38" i="14" a="1"/>
  <c r="V38" i="14" s="1"/>
  <c r="X49" i="14" a="1"/>
  <c r="X49" i="14" s="1"/>
  <c r="AB38" i="14" a="1"/>
  <c r="AB38" i="14" s="1"/>
  <c r="AB49" i="14" a="1"/>
  <c r="AB49" i="14" s="1"/>
  <c r="Y48" i="14" a="1"/>
  <c r="Y48" i="14" s="1"/>
  <c r="Y39" i="14" a="1"/>
  <c r="Y39" i="14" s="1"/>
  <c r="Z48" i="14" a="1"/>
  <c r="Z48" i="14" s="1"/>
  <c r="Z39" i="14" a="1"/>
  <c r="Z39" i="14" s="1"/>
  <c r="X39" i="14" a="1"/>
  <c r="X39" i="14" s="1"/>
  <c r="AB48" i="14" a="1"/>
  <c r="AB48" i="14" s="1"/>
  <c r="U48" i="14" a="1"/>
  <c r="U48" i="14" s="1"/>
  <c r="V39" i="14" a="1"/>
  <c r="V39" i="14" s="1"/>
  <c r="X48" i="14" a="1"/>
  <c r="X48" i="14" s="1"/>
  <c r="T39" i="14" a="1"/>
  <c r="T39" i="14" s="1"/>
  <c r="AA48" i="14" a="1"/>
  <c r="AA48" i="14" s="1"/>
  <c r="AB39" i="14" a="1"/>
  <c r="AB39" i="14" s="1"/>
  <c r="AA39" i="14" a="1"/>
  <c r="AA39" i="14" s="1"/>
  <c r="T48" i="14" a="1"/>
  <c r="T48" i="14" s="1"/>
  <c r="W48" i="14" a="1"/>
  <c r="W48" i="14" s="1"/>
  <c r="V48" i="14"/>
  <c r="X35" i="14"/>
  <c r="U46" i="14"/>
  <c r="AB42" i="14"/>
  <c r="AB50" i="14"/>
  <c r="X47" i="14"/>
  <c r="Y38" i="14"/>
  <c r="V49" i="14"/>
  <c r="AB43" i="14"/>
  <c r="Y37" i="14"/>
  <c r="Z36" i="14"/>
  <c r="W41" i="14"/>
  <c r="AB51" i="14"/>
  <c r="U39" i="14"/>
  <c r="Z40" i="14"/>
  <c r="X45" i="14"/>
  <c r="Y44" i="14"/>
  <c r="Z52" i="14" a="1"/>
  <c r="Z52" i="14" s="1"/>
  <c r="W52" i="14" a="1"/>
  <c r="W52" i="14" s="1"/>
  <c r="T52" i="14" a="1"/>
  <c r="T52" i="14" s="1"/>
  <c r="AA52" i="14" a="1"/>
  <c r="AA52" i="14" s="1"/>
  <c r="U52" i="14" a="1"/>
  <c r="U52" i="14" s="1"/>
  <c r="AB52" i="14" a="1"/>
  <c r="AB52" i="14" s="1"/>
  <c r="X52" i="14" a="1"/>
  <c r="X52" i="14" s="1"/>
  <c r="V52" i="14" a="1"/>
  <c r="V52" i="14" s="1"/>
  <c r="Y52" i="14" a="1"/>
  <c r="Y52" i="14" s="1"/>
  <c r="S7" i="14"/>
  <c r="S8" i="14"/>
  <c r="S6" i="14"/>
  <c r="S32" i="14"/>
  <c r="V31" i="14" a="1"/>
  <c r="AA22" i="14" a="1"/>
  <c r="AB27" i="14" a="1"/>
  <c r="U29" i="14" a="1"/>
  <c r="V27" i="14" a="1"/>
  <c r="X27" i="14" a="1"/>
  <c r="AA23" i="14" a="1"/>
  <c r="T28" i="14" a="1"/>
  <c r="Z27" i="14" a="1"/>
  <c r="Z23" i="14" a="1"/>
  <c r="AB22" i="14" a="1"/>
  <c r="AB31" i="14" a="1"/>
  <c r="V29" i="14" a="1"/>
  <c r="Z29" i="14" a="1"/>
  <c r="V26" i="14" a="1"/>
  <c r="V23" i="14" a="1"/>
  <c r="U34" i="14" a="1"/>
  <c r="Y24" i="14" a="1"/>
  <c r="Z26" i="14" a="1"/>
  <c r="X30" i="14" a="1"/>
  <c r="U28" i="14" a="1"/>
  <c r="AB33" i="14" a="1"/>
  <c r="W34" i="14" a="1"/>
  <c r="AB28" i="14" a="1"/>
  <c r="Y23" i="14" a="1"/>
  <c r="X23" i="14" a="1"/>
  <c r="U23" i="14" a="1"/>
  <c r="Z24" i="14" a="1"/>
  <c r="Z34" i="14" a="1"/>
  <c r="W30" i="14" a="1"/>
  <c r="T23" i="14" a="1"/>
  <c r="T34" i="14" a="1"/>
  <c r="W31" i="14" a="1"/>
  <c r="Y30" i="14" a="1"/>
  <c r="W29" i="14" a="1"/>
  <c r="T31" i="14" a="1"/>
  <c r="Z31" i="14" a="1"/>
  <c r="Y33" i="14" a="1"/>
  <c r="AA33" i="14" a="1"/>
  <c r="U22" i="14" a="1"/>
  <c r="Y34" i="14" a="1"/>
  <c r="T30" i="14" a="1"/>
  <c r="U30" i="14" a="1"/>
  <c r="T33" i="14" a="1"/>
  <c r="U31" i="14" a="1"/>
  <c r="V30" i="14" a="1"/>
  <c r="V24" i="14" a="1"/>
  <c r="T22" i="14" a="1"/>
  <c r="W28" i="14" a="1"/>
  <c r="X31" i="14" a="1"/>
  <c r="T24" i="14" a="1"/>
  <c r="Y27" i="14" a="1"/>
  <c r="X22" i="14" a="1"/>
  <c r="X24" i="14" a="1"/>
  <c r="Y22" i="14" a="1"/>
  <c r="U26" i="14" a="1"/>
  <c r="AB34" i="14" a="1"/>
  <c r="Z28" i="14" a="1"/>
  <c r="AB29" i="14" a="1"/>
  <c r="X26" i="14" a="1"/>
  <c r="Y28" i="14" a="1"/>
  <c r="AA24" i="14" a="1"/>
  <c r="AB30" i="14" a="1"/>
  <c r="V34" i="14" a="1"/>
  <c r="W26" i="14" a="1"/>
  <c r="U33" i="14" a="1"/>
  <c r="Z30" i="14" a="1"/>
  <c r="V28" i="14" a="1"/>
  <c r="AA29" i="14" a="1"/>
  <c r="Y26" i="14" a="1"/>
  <c r="X34" i="14" a="1"/>
  <c r="W23" i="14" a="1"/>
  <c r="AA30" i="14" a="1"/>
  <c r="W33" i="14" a="1"/>
  <c r="U27" i="14" a="1"/>
  <c r="AA26" i="14" a="1"/>
  <c r="Y29" i="14" a="1"/>
  <c r="T27" i="14" a="1"/>
  <c r="AA27" i="14" a="1"/>
  <c r="AB23" i="14" a="1"/>
  <c r="AA31" i="14" a="1"/>
  <c r="X28" i="14" a="1"/>
  <c r="AA28" i="14" a="1"/>
  <c r="AB24" i="14" a="1"/>
  <c r="X33" i="14" a="1"/>
  <c r="AB26" i="14" a="1"/>
  <c r="Z22" i="14" a="1"/>
  <c r="U24" i="14" a="1"/>
  <c r="W27" i="14" a="1"/>
  <c r="Z33" i="14" a="1"/>
  <c r="T29" i="14" a="1"/>
  <c r="Y31" i="14" a="1"/>
  <c r="AA34" i="14" a="1"/>
  <c r="V22" i="14" a="1"/>
  <c r="T26" i="14" a="1"/>
  <c r="W22" i="14" a="1"/>
  <c r="V33" i="14" a="1"/>
  <c r="X29" i="14" a="1"/>
  <c r="W24" i="14" a="1"/>
  <c r="W21" i="14" a="1"/>
  <c r="AA20" i="14" a="1"/>
  <c r="AB13" i="14" a="1"/>
  <c r="Y13" i="14" a="1"/>
  <c r="U13" i="14" a="1"/>
  <c r="T21" i="14" a="1"/>
  <c r="Z16" i="14" a="1"/>
  <c r="Z13" i="14" a="1"/>
  <c r="V19" i="14" a="1"/>
  <c r="T13" i="14" a="1"/>
  <c r="AA13" i="14" a="1"/>
  <c r="T18" i="14" a="1"/>
  <c r="Z17" i="14" a="1"/>
  <c r="X13" i="14" a="1"/>
  <c r="V16" i="14" a="1"/>
  <c r="Z20" i="14" a="1"/>
  <c r="AA17" i="14" a="1"/>
  <c r="AB20" i="14" a="1"/>
  <c r="Z18" i="14" a="1"/>
  <c r="AB16" i="14" a="1"/>
  <c r="V13" i="14" a="1"/>
  <c r="Y20" i="14" a="1"/>
  <c r="Z19" i="14" a="1"/>
  <c r="W17" i="14" a="1"/>
  <c r="W16" i="14" a="1"/>
  <c r="U16" i="14" a="1"/>
  <c r="V21" i="14" a="1"/>
  <c r="AA21" i="14" a="1"/>
  <c r="AA14" i="14" a="1"/>
  <c r="U19" i="14" a="1"/>
  <c r="X14" i="14" a="1"/>
  <c r="V14" i="14" a="1"/>
  <c r="Y17" i="14" a="1"/>
  <c r="AA16" i="14" a="1"/>
  <c r="Y18" i="14" a="1"/>
  <c r="V18" i="14" a="1"/>
  <c r="W20" i="14" a="1"/>
  <c r="X17" i="14" a="1"/>
  <c r="U14" i="14" a="1"/>
  <c r="Y21" i="14" a="1"/>
  <c r="AA19" i="14" a="1"/>
  <c r="AA18" i="14" a="1"/>
  <c r="Y19" i="14" a="1"/>
  <c r="Y16" i="14" a="1"/>
  <c r="W18" i="14" a="1"/>
  <c r="AB21" i="14" a="1"/>
  <c r="AB14" i="14" a="1"/>
  <c r="AB19" i="14" a="1"/>
  <c r="V20" i="14" a="1"/>
  <c r="T16" i="14" a="1"/>
  <c r="U17" i="14" a="1"/>
  <c r="Z21" i="14" a="1"/>
  <c r="AB18" i="14" a="1"/>
  <c r="V17" i="14" a="1"/>
  <c r="X20" i="14" a="1"/>
  <c r="T14" i="14" a="1"/>
  <c r="U21" i="14" a="1"/>
  <c r="W13" i="14" a="1"/>
  <c r="X16" i="14" a="1"/>
  <c r="AB17" i="14" a="1"/>
  <c r="T17" i="14" a="1"/>
  <c r="Y14" i="14" a="1"/>
  <c r="U20" i="14" a="1"/>
  <c r="W14" i="14" a="1"/>
  <c r="X19" i="14" a="1"/>
  <c r="T19" i="14" a="1"/>
  <c r="X21" i="14" a="1"/>
  <c r="Z14" i="14" a="1"/>
  <c r="T20" i="14" a="1"/>
  <c r="X18" i="14" a="1"/>
  <c r="W19" i="14" a="1"/>
  <c r="AB38" i="4"/>
  <c r="AB35" i="4"/>
  <c r="AB43" i="4"/>
  <c r="U18" i="14" a="1"/>
  <c r="AB45" i="4"/>
  <c r="AB28" i="4"/>
  <c r="AB24" i="4"/>
  <c r="AB34" i="4"/>
  <c r="AB40" i="4"/>
  <c r="AB25" i="4"/>
  <c r="AB30" i="4"/>
  <c r="AB39" i="4"/>
  <c r="AB42" i="4"/>
  <c r="AB26" i="4"/>
  <c r="AB44" i="4"/>
  <c r="AB37" i="4"/>
  <c r="AB23" i="4"/>
  <c r="AB31" i="4"/>
  <c r="AB41" i="4"/>
  <c r="AB29" i="4"/>
  <c r="AB27" i="4"/>
  <c r="AB36" i="4"/>
  <c r="AB33" i="4"/>
  <c r="AB32" i="4"/>
  <c r="AR16" i="4"/>
  <c r="AR10" i="4"/>
  <c r="AR18" i="4"/>
  <c r="AR17" i="4"/>
  <c r="AR11" i="4"/>
  <c r="AR19" i="4"/>
  <c r="AR12" i="4"/>
  <c r="AR21" i="4"/>
  <c r="AR13" i="4"/>
  <c r="AR20" i="4"/>
  <c r="AR14" i="4"/>
  <c r="AR22" i="4"/>
  <c r="AR15" i="4"/>
  <c r="AI15" i="5"/>
  <c r="AR9" i="4"/>
  <c r="AD2" i="4"/>
  <c r="AR8" i="4"/>
  <c r="AS1" i="4"/>
  <c r="AS2" i="4"/>
  <c r="V25" i="14" a="1"/>
  <c r="Z25" i="14" a="1"/>
  <c r="V15" i="14" a="1"/>
  <c r="AB15" i="14" a="1"/>
  <c r="W35" i="14" a="1"/>
  <c r="U45" i="14" a="1"/>
  <c r="X25" i="14" a="1"/>
  <c r="T25" i="14" a="1"/>
  <c r="S5" i="14" a="1"/>
  <c r="T15" i="14" a="1"/>
  <c r="AB45" i="14" a="1"/>
  <c r="W15" i="14" a="1"/>
  <c r="AA45" i="14" a="1"/>
  <c r="T35" i="14" a="1"/>
  <c r="T45" i="14" a="1"/>
  <c r="V45" i="14" a="1"/>
  <c r="Y15" i="14" a="1"/>
  <c r="U15" i="14" a="1"/>
  <c r="Z45" i="14" a="1"/>
  <c r="Y25" i="14" a="1"/>
  <c r="V35" i="14" a="1"/>
  <c r="W25" i="14" a="1"/>
  <c r="S12" i="14" a="1"/>
  <c r="X15" i="14" a="1"/>
  <c r="AA25" i="14" a="1"/>
  <c r="Z15" i="14" a="1"/>
  <c r="AA35" i="14" a="1"/>
  <c r="Y45" i="14" a="1"/>
  <c r="U35" i="14" a="1"/>
  <c r="Z35" i="14" a="1"/>
  <c r="W45" i="14" a="1"/>
  <c r="AB35" i="14" a="1"/>
  <c r="AA15" i="14" a="1"/>
  <c r="AB25" i="14" a="1"/>
  <c r="U25" i="14" a="1"/>
  <c r="Y35" i="14" a="1"/>
  <c r="W35" i="14" l="1"/>
  <c r="AB35" i="14"/>
  <c r="T45" i="14"/>
  <c r="U45" i="14"/>
  <c r="Z35" i="14"/>
  <c r="AB45" i="14"/>
  <c r="AA45" i="14"/>
  <c r="U35" i="14"/>
  <c r="Y35" i="14"/>
  <c r="V45" i="14"/>
  <c r="AA35" i="14"/>
  <c r="T35" i="14"/>
  <c r="W45" i="14"/>
  <c r="Z45" i="14"/>
  <c r="Y45" i="14"/>
  <c r="V35" i="14"/>
  <c r="U11" i="14" a="1"/>
  <c r="U11" i="14" s="1"/>
  <c r="X9" i="14" a="1"/>
  <c r="X9" i="14" s="1"/>
  <c r="X11" i="14" a="1"/>
  <c r="X11" i="14" s="1"/>
  <c r="V11" i="14" a="1"/>
  <c r="V11" i="14" s="1"/>
  <c r="Z11" i="14" a="1"/>
  <c r="Z11" i="14" s="1"/>
  <c r="Y11" i="14" a="1"/>
  <c r="Y11" i="14" s="1"/>
  <c r="T11" i="14" a="1"/>
  <c r="T11" i="14" s="1"/>
  <c r="W11" i="14" a="1"/>
  <c r="W11" i="14" s="1"/>
  <c r="AB11" i="14" a="1"/>
  <c r="AB11" i="14" s="1"/>
  <c r="AB10" i="14" a="1"/>
  <c r="AB10" i="14" s="1"/>
  <c r="U10" i="14" a="1"/>
  <c r="U10" i="14" s="1"/>
  <c r="V10" i="14" a="1"/>
  <c r="V10" i="14" s="1"/>
  <c r="AB9" i="14" a="1"/>
  <c r="AB9" i="14" s="1"/>
  <c r="T10" i="14" a="1"/>
  <c r="T10" i="14" s="1"/>
  <c r="W10" i="14" a="1"/>
  <c r="W10" i="14" s="1"/>
  <c r="T9" i="14" a="1"/>
  <c r="T9" i="14" s="1"/>
  <c r="Y10" i="14" a="1"/>
  <c r="Y10" i="14" s="1"/>
  <c r="Y9" i="14" a="1"/>
  <c r="Y9" i="14" s="1"/>
  <c r="AA10" i="14" a="1"/>
  <c r="AA10" i="14" s="1"/>
  <c r="V9" i="14" a="1"/>
  <c r="V9" i="14" s="1"/>
  <c r="W9" i="14" a="1"/>
  <c r="W9" i="14" s="1"/>
  <c r="X10" i="14" a="1"/>
  <c r="X10" i="14" s="1"/>
  <c r="AA9" i="14" a="1"/>
  <c r="AA9" i="14" s="1"/>
  <c r="U9" i="14" a="1"/>
  <c r="U9" i="14" s="1"/>
  <c r="AF43" i="4"/>
  <c r="AG43" i="4"/>
  <c r="AH43" i="4"/>
  <c r="AI43" i="4"/>
  <c r="AC43" i="4"/>
  <c r="AM43" i="4" s="1"/>
  <c r="AN43" i="4"/>
  <c r="AD43" i="4"/>
  <c r="AE43" i="4"/>
  <c r="AD40" i="4"/>
  <c r="AE40" i="4"/>
  <c r="AH40" i="4"/>
  <c r="AF40" i="4"/>
  <c r="AG40" i="4"/>
  <c r="AI40" i="4"/>
  <c r="AN40" i="4"/>
  <c r="AC40" i="4"/>
  <c r="AM40" i="4" s="1"/>
  <c r="AD32" i="4"/>
  <c r="AE32" i="4"/>
  <c r="AF32" i="4"/>
  <c r="AG32" i="4"/>
  <c r="AH32" i="4"/>
  <c r="AI32" i="4"/>
  <c r="AN32" i="4"/>
  <c r="AC32" i="4"/>
  <c r="AM32" i="4" s="1"/>
  <c r="AC37" i="4"/>
  <c r="AM37" i="4" s="1"/>
  <c r="AN37" i="4"/>
  <c r="AD37" i="4"/>
  <c r="AF37" i="4"/>
  <c r="AE37" i="4"/>
  <c r="AG37" i="4"/>
  <c r="AI37" i="4"/>
  <c r="AH37" i="4"/>
  <c r="AH34" i="4"/>
  <c r="AI34" i="4"/>
  <c r="AC34" i="4"/>
  <c r="AM34" i="4" s="1"/>
  <c r="AN34" i="4"/>
  <c r="AD34" i="4"/>
  <c r="AE34" i="4"/>
  <c r="AG34" i="4"/>
  <c r="AF34" i="4"/>
  <c r="AH38" i="4"/>
  <c r="AI38" i="4"/>
  <c r="AD38" i="4"/>
  <c r="AC38" i="4"/>
  <c r="AM38" i="4" s="1"/>
  <c r="AN38" i="4"/>
  <c r="AE38" i="4"/>
  <c r="AF38" i="4"/>
  <c r="AG38" i="4"/>
  <c r="AC41" i="4"/>
  <c r="AM41" i="4" s="1"/>
  <c r="AN41" i="4"/>
  <c r="AD41" i="4"/>
  <c r="AF41" i="4"/>
  <c r="AE41" i="4"/>
  <c r="AG41" i="4"/>
  <c r="AH41" i="4"/>
  <c r="AI41" i="4"/>
  <c r="AD24" i="4"/>
  <c r="AE24" i="4"/>
  <c r="AF24" i="4"/>
  <c r="AH24" i="4"/>
  <c r="AG24" i="4"/>
  <c r="AI24" i="4"/>
  <c r="AN24" i="4"/>
  <c r="AC24" i="4"/>
  <c r="AM24" i="4" s="1"/>
  <c r="AD36" i="4"/>
  <c r="AE36" i="4"/>
  <c r="AF36" i="4"/>
  <c r="AG36" i="4"/>
  <c r="AH36" i="4"/>
  <c r="AI36" i="4"/>
  <c r="AC36" i="4"/>
  <c r="AM36" i="4" s="1"/>
  <c r="AN36" i="4"/>
  <c r="AH26" i="4"/>
  <c r="AI26" i="4"/>
  <c r="AD26" i="4"/>
  <c r="AC26" i="4"/>
  <c r="AM26" i="4" s="1"/>
  <c r="AN26" i="4"/>
  <c r="AE26" i="4"/>
  <c r="AF26" i="4"/>
  <c r="AG26" i="4"/>
  <c r="AD28" i="4"/>
  <c r="AE28" i="4"/>
  <c r="AF28" i="4"/>
  <c r="AH28" i="4"/>
  <c r="AG28" i="4"/>
  <c r="AI28" i="4"/>
  <c r="AC28" i="4"/>
  <c r="AM28" i="4" s="1"/>
  <c r="AN28" i="4"/>
  <c r="AH30" i="4"/>
  <c r="AI30" i="4"/>
  <c r="AC30" i="4"/>
  <c r="AM30" i="4" s="1"/>
  <c r="AN30" i="4"/>
  <c r="AD30" i="4"/>
  <c r="AE30" i="4"/>
  <c r="AF30" i="4"/>
  <c r="AG30" i="4"/>
  <c r="AF31" i="4"/>
  <c r="AG31" i="4"/>
  <c r="AH31" i="4"/>
  <c r="AI31" i="4"/>
  <c r="AC31" i="4"/>
  <c r="AM31" i="4" s="1"/>
  <c r="AN31" i="4"/>
  <c r="AE31" i="4"/>
  <c r="AD31" i="4"/>
  <c r="AF35" i="4"/>
  <c r="AG35" i="4"/>
  <c r="AH35" i="4"/>
  <c r="AI35" i="4"/>
  <c r="AC35" i="4"/>
  <c r="AM35" i="4" s="1"/>
  <c r="AN35" i="4"/>
  <c r="AD35" i="4"/>
  <c r="AE35" i="4"/>
  <c r="AD44" i="4"/>
  <c r="AE44" i="4"/>
  <c r="AH44" i="4"/>
  <c r="AF44" i="4"/>
  <c r="AG44" i="4"/>
  <c r="AI44" i="4"/>
  <c r="AC44" i="4"/>
  <c r="AM44" i="4" s="1"/>
  <c r="AN44" i="4"/>
  <c r="AF27" i="4"/>
  <c r="AG27" i="4"/>
  <c r="AH27" i="4"/>
  <c r="AI27" i="4"/>
  <c r="AC27" i="4"/>
  <c r="AM27" i="4" s="1"/>
  <c r="AN27" i="4"/>
  <c r="AD27" i="4"/>
  <c r="AE27" i="4"/>
  <c r="AH42" i="4"/>
  <c r="AI42" i="4"/>
  <c r="AD42" i="4"/>
  <c r="AC42" i="4"/>
  <c r="AM42" i="4" s="1"/>
  <c r="AN42" i="4"/>
  <c r="AE42" i="4"/>
  <c r="AF42" i="4"/>
  <c r="AG42" i="4"/>
  <c r="AC45" i="4"/>
  <c r="AM45" i="4" s="1"/>
  <c r="AN45" i="4"/>
  <c r="AD45" i="4"/>
  <c r="AF45" i="4"/>
  <c r="AE45" i="4"/>
  <c r="AG45" i="4"/>
  <c r="AH45" i="4"/>
  <c r="AI45" i="4"/>
  <c r="AC25" i="4"/>
  <c r="AM25" i="4" s="1"/>
  <c r="AN25" i="4"/>
  <c r="AF25" i="4"/>
  <c r="AD25" i="4"/>
  <c r="AE25" i="4"/>
  <c r="AG25" i="4"/>
  <c r="AH25" i="4"/>
  <c r="AI25" i="4"/>
  <c r="AF23" i="4"/>
  <c r="AG23" i="4"/>
  <c r="AH23" i="4"/>
  <c r="AI23" i="4"/>
  <c r="AC23" i="4"/>
  <c r="AM23" i="4" s="1"/>
  <c r="AN23" i="4"/>
  <c r="AD23" i="4"/>
  <c r="AE23" i="4"/>
  <c r="AC33" i="4"/>
  <c r="AM33" i="4" s="1"/>
  <c r="AN33" i="4"/>
  <c r="AD33" i="4"/>
  <c r="AF33" i="4"/>
  <c r="AE33" i="4"/>
  <c r="AG33" i="4"/>
  <c r="AH33" i="4"/>
  <c r="AI33" i="4"/>
  <c r="AC29" i="4"/>
  <c r="AM29" i="4" s="1"/>
  <c r="AN29" i="4"/>
  <c r="AD29" i="4"/>
  <c r="AF29" i="4"/>
  <c r="AE29" i="4"/>
  <c r="AG29" i="4"/>
  <c r="AH29" i="4"/>
  <c r="AI29" i="4"/>
  <c r="AF39" i="4"/>
  <c r="AG39" i="4"/>
  <c r="AH39" i="4"/>
  <c r="AI39" i="4"/>
  <c r="AC39" i="4"/>
  <c r="AM39" i="4" s="1"/>
  <c r="AN39" i="4"/>
  <c r="AD39" i="4"/>
  <c r="AE39" i="4"/>
  <c r="S12" i="14"/>
  <c r="U12" i="14" s="1" a="1"/>
  <c r="S5" i="14"/>
  <c r="AB33" i="14"/>
  <c r="U34" i="14"/>
  <c r="Z17" i="14"/>
  <c r="Y21" i="14"/>
  <c r="V21" i="14"/>
  <c r="AB18" i="14"/>
  <c r="Z19" i="14"/>
  <c r="AA22" i="14"/>
  <c r="Z9" i="14"/>
  <c r="W22" i="14"/>
  <c r="AB31" i="14"/>
  <c r="W27" i="14"/>
  <c r="U15" i="14"/>
  <c r="T20" i="14"/>
  <c r="U13" i="14"/>
  <c r="V13" i="14"/>
  <c r="X33" i="14"/>
  <c r="W28" i="14"/>
  <c r="Y30" i="14"/>
  <c r="AA29" i="14"/>
  <c r="AA25" i="14"/>
  <c r="AB34" i="14"/>
  <c r="V23" i="14"/>
  <c r="W23" i="14"/>
  <c r="Z14" i="14"/>
  <c r="T16" i="14"/>
  <c r="X24" i="14"/>
  <c r="W26" i="14"/>
  <c r="W17" i="14"/>
  <c r="Z10" i="14"/>
  <c r="AB21" i="14"/>
  <c r="X18" i="14"/>
  <c r="V19" i="14"/>
  <c r="X27" i="14"/>
  <c r="V34" i="14"/>
  <c r="Z22" i="14"/>
  <c r="T33" i="14"/>
  <c r="U30" i="14"/>
  <c r="Y25" i="14"/>
  <c r="U23" i="14"/>
  <c r="V14" i="14"/>
  <c r="T24" i="14"/>
  <c r="Z26" i="14"/>
  <c r="X21" i="14"/>
  <c r="AA11" i="14"/>
  <c r="AA18" i="14"/>
  <c r="T18" i="14"/>
  <c r="Y19" i="14"/>
  <c r="X20" i="14"/>
  <c r="U29" i="14"/>
  <c r="X16" i="14"/>
  <c r="Z27" i="14"/>
  <c r="X13" i="14"/>
  <c r="V33" i="14"/>
  <c r="Z28" i="14"/>
  <c r="T29" i="14"/>
  <c r="T34" i="14"/>
  <c r="Y14" i="14"/>
  <c r="AA16" i="14"/>
  <c r="Y17" i="14"/>
  <c r="Y22" i="14"/>
  <c r="V22" i="14"/>
  <c r="AA31" i="14"/>
  <c r="V27" i="14"/>
  <c r="X15" i="14"/>
  <c r="W20" i="14"/>
  <c r="T13" i="14"/>
  <c r="U33" i="14"/>
  <c r="AA28" i="14"/>
  <c r="V28" i="14"/>
  <c r="AA30" i="14"/>
  <c r="Y29" i="14"/>
  <c r="U25" i="14"/>
  <c r="Z34" i="14"/>
  <c r="Z23" i="14"/>
  <c r="U14" i="14"/>
  <c r="Z16" i="14"/>
  <c r="W16" i="14"/>
  <c r="AA24" i="14"/>
  <c r="V26" i="14"/>
  <c r="U17" i="14"/>
  <c r="U21" i="14"/>
  <c r="W18" i="14"/>
  <c r="AA19" i="14"/>
  <c r="U19" i="14"/>
  <c r="V31" i="14"/>
  <c r="Z13" i="14"/>
  <c r="AA23" i="14"/>
  <c r="U22" i="14"/>
  <c r="AA33" i="14"/>
  <c r="Y23" i="14"/>
  <c r="AB17" i="14"/>
  <c r="Z18" i="14"/>
  <c r="X19" i="14"/>
  <c r="V25" i="14"/>
  <c r="W14" i="14"/>
  <c r="AA20" i="14"/>
  <c r="X31" i="14"/>
  <c r="T15" i="14"/>
  <c r="AB13" i="14"/>
  <c r="W30" i="14"/>
  <c r="V16" i="14"/>
  <c r="AB22" i="14"/>
  <c r="T31" i="14"/>
  <c r="AB27" i="14"/>
  <c r="U27" i="14"/>
  <c r="AA15" i="14"/>
  <c r="V20" i="14"/>
  <c r="Y13" i="14"/>
  <c r="Z33" i="14"/>
  <c r="U28" i="14"/>
  <c r="V30" i="14"/>
  <c r="AB29" i="14"/>
  <c r="V29" i="14"/>
  <c r="X25" i="14"/>
  <c r="AA34" i="14"/>
  <c r="AB23" i="14"/>
  <c r="X14" i="14"/>
  <c r="Y16" i="14"/>
  <c r="V24" i="14"/>
  <c r="T26" i="14"/>
  <c r="U26" i="14"/>
  <c r="X17" i="14"/>
  <c r="AA21" i="14"/>
  <c r="V18" i="14"/>
  <c r="W19" i="14"/>
  <c r="V15" i="14"/>
  <c r="T30" i="14"/>
  <c r="AA26" i="14"/>
  <c r="AB15" i="14"/>
  <c r="Y27" i="14"/>
  <c r="Z20" i="14"/>
  <c r="Y28" i="14"/>
  <c r="Z29" i="14"/>
  <c r="X34" i="14"/>
  <c r="Z24" i="14"/>
  <c r="T21" i="14"/>
  <c r="X22" i="14"/>
  <c r="Z31" i="14"/>
  <c r="T27" i="14"/>
  <c r="Y15" i="14"/>
  <c r="W15" i="14"/>
  <c r="Y20" i="14"/>
  <c r="AA13" i="14"/>
  <c r="Y33" i="14"/>
  <c r="AB28" i="14"/>
  <c r="AB30" i="14"/>
  <c r="W29" i="14"/>
  <c r="Z25" i="14"/>
  <c r="T25" i="14"/>
  <c r="W34" i="14"/>
  <c r="X23" i="14"/>
  <c r="T14" i="14"/>
  <c r="U16" i="14"/>
  <c r="Y24" i="14"/>
  <c r="AB26" i="14"/>
  <c r="V17" i="14"/>
  <c r="T17" i="14"/>
  <c r="W21" i="14"/>
  <c r="Y18" i="14"/>
  <c r="T19" i="14"/>
  <c r="T28" i="14"/>
  <c r="AB24" i="14"/>
  <c r="U31" i="14"/>
  <c r="W31" i="14"/>
  <c r="X30" i="14"/>
  <c r="AB25" i="14"/>
  <c r="AB14" i="14"/>
  <c r="W24" i="14"/>
  <c r="Y26" i="14"/>
  <c r="T22" i="14"/>
  <c r="Y31" i="14"/>
  <c r="AA27" i="14"/>
  <c r="Z15" i="14"/>
  <c r="AB20" i="14"/>
  <c r="U20" i="14"/>
  <c r="W13" i="14"/>
  <c r="W33" i="14"/>
  <c r="X28" i="14"/>
  <c r="Z30" i="14"/>
  <c r="X29" i="14"/>
  <c r="W25" i="14"/>
  <c r="Y34" i="14"/>
  <c r="T23" i="14"/>
  <c r="AA14" i="14"/>
  <c r="AB16" i="14"/>
  <c r="U24" i="14"/>
  <c r="X26" i="14"/>
  <c r="AA17" i="14"/>
  <c r="Z21" i="14"/>
  <c r="U18" i="14"/>
  <c r="AB19" i="14"/>
  <c r="J22" i="3"/>
  <c r="V32" i="14" a="1"/>
  <c r="X32" i="14" a="1"/>
  <c r="Y32" i="14" a="1"/>
  <c r="AA32" i="14" a="1"/>
  <c r="U32" i="14" a="1"/>
  <c r="W32" i="14" a="1"/>
  <c r="T32" i="14" a="1"/>
  <c r="Z32" i="14" a="1"/>
  <c r="AB32" i="14" a="1"/>
  <c r="AU16" i="4"/>
  <c r="AU15" i="4"/>
  <c r="AU10" i="4"/>
  <c r="AU18" i="4"/>
  <c r="AU14" i="4"/>
  <c r="AU11" i="4"/>
  <c r="AU19" i="4"/>
  <c r="AU12" i="4"/>
  <c r="AU21" i="4"/>
  <c r="AU13" i="4"/>
  <c r="AU20" i="4"/>
  <c r="AU17" i="4"/>
  <c r="AU22" i="4"/>
  <c r="V8" i="14" a="1"/>
  <c r="AB8" i="14" a="1"/>
  <c r="Y8" i="14" a="1"/>
  <c r="X8" i="14" a="1"/>
  <c r="W8" i="14" a="1"/>
  <c r="U8" i="14" a="1"/>
  <c r="Z8" i="14" a="1"/>
  <c r="AA8" i="14" a="1"/>
  <c r="T8" i="14" a="1"/>
  <c r="X7" i="14" a="1"/>
  <c r="W7" i="14" a="1"/>
  <c r="V7" i="14" a="1"/>
  <c r="AA7" i="14" a="1"/>
  <c r="AB7" i="14" a="1"/>
  <c r="Z7" i="14" a="1"/>
  <c r="Y7" i="14" a="1"/>
  <c r="T7" i="14" a="1"/>
  <c r="U7" i="14" a="1"/>
  <c r="AA6" i="14" a="1"/>
  <c r="AB6" i="14" a="1"/>
  <c r="W6" i="14" a="1"/>
  <c r="X6" i="14" a="1"/>
  <c r="U6" i="14" a="1"/>
  <c r="V6" i="14" a="1"/>
  <c r="Z6" i="14" a="1"/>
  <c r="T6" i="14" a="1"/>
  <c r="Y6" i="14" a="1"/>
  <c r="AU9" i="4"/>
  <c r="AU8" i="4"/>
  <c r="W5" i="14" a="1"/>
  <c r="W12" i="14" l="1" a="1"/>
  <c r="W12" i="14" s="1"/>
  <c r="Z12" i="14" a="1"/>
  <c r="Z12" i="14" s="1"/>
  <c r="V12" i="14" a="1"/>
  <c r="V12" i="14" s="1"/>
  <c r="AB12" i="14" a="1"/>
  <c r="AB12" i="14" s="1"/>
  <c r="Y12" i="14" a="1"/>
  <c r="Y12" i="14" s="1"/>
  <c r="AA12" i="14" a="1"/>
  <c r="AA12" i="14" s="1"/>
  <c r="T12" i="14" a="1"/>
  <c r="T12" i="14" s="1"/>
  <c r="X12" i="14" a="1"/>
  <c r="X12" i="14" s="1"/>
  <c r="AB10" i="4"/>
  <c r="AB19" i="4"/>
  <c r="AB17" i="4"/>
  <c r="AB14" i="4"/>
  <c r="AB16" i="4"/>
  <c r="AB18" i="4"/>
  <c r="AB22" i="4"/>
  <c r="AB9" i="4"/>
  <c r="AB12" i="4"/>
  <c r="AB13" i="4"/>
  <c r="AB15" i="4"/>
  <c r="AB11" i="4"/>
  <c r="AB20" i="4"/>
  <c r="AB21" i="4"/>
  <c r="U12" i="14"/>
  <c r="AB8" i="4"/>
  <c r="W5" i="14"/>
  <c r="P6" i="3"/>
  <c r="AA32" i="14"/>
  <c r="W6" i="14"/>
  <c r="X7" i="14"/>
  <c r="X6" i="14"/>
  <c r="T7" i="14"/>
  <c r="X8" i="14"/>
  <c r="T6" i="14"/>
  <c r="W32" i="14"/>
  <c r="V7" i="14"/>
  <c r="AB8" i="14"/>
  <c r="AA7" i="14"/>
  <c r="T8" i="14"/>
  <c r="AA6" i="14"/>
  <c r="Z32" i="14"/>
  <c r="AA8" i="14"/>
  <c r="Z8" i="14"/>
  <c r="X32" i="14"/>
  <c r="V32" i="14"/>
  <c r="U7" i="14"/>
  <c r="W8" i="14"/>
  <c r="AB32" i="14"/>
  <c r="Z7" i="14"/>
  <c r="Y6" i="14"/>
  <c r="V6" i="14"/>
  <c r="Y7" i="14"/>
  <c r="Y8" i="14"/>
  <c r="U6" i="14"/>
  <c r="Y32" i="14"/>
  <c r="T32" i="14"/>
  <c r="W7" i="14"/>
  <c r="Z6" i="14"/>
  <c r="V8" i="14"/>
  <c r="AB7" i="14"/>
  <c r="U8" i="14"/>
  <c r="AB6" i="14"/>
  <c r="U32" i="14"/>
  <c r="Y5" i="14" a="1"/>
  <c r="X5" i="14" a="1"/>
  <c r="U5" i="14" a="1"/>
  <c r="V5" i="14" a="1"/>
  <c r="AB5" i="14" a="1"/>
  <c r="T5" i="14" a="1"/>
  <c r="Z5" i="14" a="1"/>
  <c r="AA5" i="14" a="1"/>
  <c r="T5" i="14" l="1"/>
  <c r="Z5" i="14"/>
  <c r="Y5" i="14"/>
  <c r="AC9" i="4"/>
  <c r="AM9" i="4" s="1"/>
  <c r="AD9" i="4"/>
  <c r="AF9" i="4"/>
  <c r="AE9" i="4"/>
  <c r="AG9" i="4"/>
  <c r="AH9" i="4"/>
  <c r="AI9" i="4"/>
  <c r="AH18" i="4"/>
  <c r="AI18" i="4"/>
  <c r="AD18" i="4"/>
  <c r="AC18" i="4"/>
  <c r="AM18" i="4" s="1"/>
  <c r="AE18" i="4"/>
  <c r="AF18" i="4"/>
  <c r="AG18" i="4"/>
  <c r="AH22" i="4"/>
  <c r="AI22" i="4"/>
  <c r="AC22" i="4"/>
  <c r="AM22" i="4" s="1"/>
  <c r="AD22" i="4"/>
  <c r="AE22" i="4"/>
  <c r="AF22" i="4"/>
  <c r="AG22" i="4"/>
  <c r="AF11" i="4"/>
  <c r="AG11" i="4"/>
  <c r="AH11" i="4"/>
  <c r="AI11" i="4"/>
  <c r="AC11" i="4"/>
  <c r="AM11" i="4" s="1"/>
  <c r="AD11" i="4"/>
  <c r="AE11" i="4"/>
  <c r="AH14" i="4"/>
  <c r="AI14" i="4"/>
  <c r="AD14" i="4"/>
  <c r="AC14" i="4"/>
  <c r="AM14" i="4" s="1"/>
  <c r="AE14" i="4"/>
  <c r="AF14" i="4"/>
  <c r="AG14" i="4"/>
  <c r="AD16" i="4"/>
  <c r="AE16" i="4"/>
  <c r="AH16" i="4"/>
  <c r="AF16" i="4"/>
  <c r="AG16" i="4"/>
  <c r="AI16" i="4"/>
  <c r="AC16" i="4"/>
  <c r="AM16" i="4" s="1"/>
  <c r="AC17" i="4"/>
  <c r="AM17" i="4" s="1"/>
  <c r="AD17" i="4"/>
  <c r="AF17" i="4"/>
  <c r="AE17" i="4"/>
  <c r="AG17" i="4"/>
  <c r="AH17" i="4"/>
  <c r="AI17" i="4"/>
  <c r="AD20" i="4"/>
  <c r="AE20" i="4"/>
  <c r="AH20" i="4"/>
  <c r="AF20" i="4"/>
  <c r="AG20" i="4"/>
  <c r="AI20" i="4"/>
  <c r="AC20" i="4"/>
  <c r="AM20" i="4" s="1"/>
  <c r="AF15" i="4"/>
  <c r="AG15" i="4"/>
  <c r="AH15" i="4"/>
  <c r="AI15" i="4"/>
  <c r="AC15" i="4"/>
  <c r="AM15" i="4" s="1"/>
  <c r="AD15" i="4"/>
  <c r="AE15" i="4"/>
  <c r="AC13" i="4"/>
  <c r="AM13" i="4" s="1"/>
  <c r="AD13" i="4"/>
  <c r="AF13" i="4"/>
  <c r="AE13" i="4"/>
  <c r="AG13" i="4"/>
  <c r="AH13" i="4"/>
  <c r="AI13" i="4"/>
  <c r="AF19" i="4"/>
  <c r="AG19" i="4"/>
  <c r="AH19" i="4"/>
  <c r="AI19" i="4"/>
  <c r="AC19" i="4"/>
  <c r="AM19" i="4" s="1"/>
  <c r="AD19" i="4"/>
  <c r="AE19" i="4"/>
  <c r="AC21" i="4"/>
  <c r="AM21" i="4" s="1"/>
  <c r="AD21" i="4"/>
  <c r="AF21" i="4"/>
  <c r="AE21" i="4"/>
  <c r="AG21" i="4"/>
  <c r="AH21" i="4"/>
  <c r="AI21" i="4"/>
  <c r="AD12" i="4"/>
  <c r="AE12" i="4"/>
  <c r="AF12" i="4"/>
  <c r="AH12" i="4"/>
  <c r="AG12" i="4"/>
  <c r="AI12" i="4"/>
  <c r="AC12" i="4"/>
  <c r="AM12" i="4" s="1"/>
  <c r="AH10" i="4"/>
  <c r="AI10" i="4"/>
  <c r="AC10" i="4"/>
  <c r="AM10" i="4" s="1"/>
  <c r="AD10" i="4"/>
  <c r="AE10" i="4"/>
  <c r="AF10" i="4"/>
  <c r="AG10" i="4"/>
  <c r="AG8" i="4"/>
  <c r="X5" i="14"/>
  <c r="V5" i="14"/>
  <c r="AA5" i="14"/>
  <c r="AB5" i="14"/>
  <c r="U5" i="14"/>
  <c r="AF8" i="4"/>
  <c r="AD8" i="4"/>
  <c r="AH8" i="4"/>
  <c r="AE8" i="4"/>
  <c r="AC8" i="4"/>
  <c r="AM8" i="4" s="1"/>
  <c r="AI8" i="4"/>
  <c r="AN21" i="4"/>
  <c r="AN16" i="4"/>
  <c r="AN17" i="4"/>
  <c r="AN13" i="4"/>
  <c r="AN12" i="4"/>
  <c r="AN10" i="4"/>
  <c r="AN22" i="4"/>
  <c r="AN18" i="4"/>
  <c r="AN14" i="4"/>
  <c r="AN11" i="4"/>
  <c r="AN15" i="4"/>
  <c r="AN19" i="4"/>
  <c r="AN20" i="4"/>
  <c r="AN9" i="4"/>
  <c r="AN8" i="4"/>
  <c r="AE50" i="18" l="1"/>
  <c r="AM30" i="6" l="1"/>
  <c r="AM32" i="6"/>
  <c r="AM47" i="6"/>
  <c r="AM24" i="6"/>
  <c r="AM16" i="6"/>
  <c r="AM85" i="6"/>
  <c r="AM20" i="6"/>
  <c r="AM26" i="6"/>
  <c r="AM36" i="6"/>
  <c r="AM38" i="6"/>
  <c r="AM92" i="6"/>
  <c r="AM41" i="6"/>
  <c r="AM39" i="6"/>
  <c r="AM94" i="6"/>
  <c r="AM66" i="6"/>
  <c r="AM87" i="6"/>
  <c r="AM93" i="6"/>
  <c r="AM22" i="6"/>
  <c r="AM60" i="6"/>
  <c r="AM72" i="6"/>
  <c r="AM55" i="6"/>
  <c r="AM31" i="6"/>
  <c r="AM18" i="6"/>
  <c r="AM91" i="6"/>
  <c r="AM59" i="6"/>
  <c r="AM75" i="6"/>
  <c r="AM15" i="6"/>
  <c r="AM46" i="6"/>
  <c r="AM70" i="6"/>
  <c r="AM42" i="6"/>
  <c r="AM56" i="6"/>
  <c r="AM106" i="6"/>
  <c r="AM103" i="6"/>
  <c r="AM53" i="6"/>
  <c r="AM73" i="6"/>
  <c r="AM95" i="6"/>
  <c r="AM44" i="6"/>
  <c r="AM69" i="6"/>
  <c r="AM23" i="6"/>
  <c r="AM80" i="6"/>
  <c r="AM81" i="6"/>
  <c r="AM68" i="6"/>
  <c r="AM64" i="6"/>
  <c r="AM33" i="6"/>
  <c r="AM89" i="6"/>
  <c r="AM102" i="6"/>
  <c r="AM96" i="6"/>
  <c r="AM63" i="6"/>
  <c r="AM28" i="6"/>
  <c r="AM35" i="6"/>
  <c r="AM54" i="6"/>
  <c r="AM84" i="6"/>
  <c r="AM62" i="6"/>
  <c r="AM37" i="6"/>
  <c r="AM71" i="6"/>
  <c r="AM86" i="6"/>
  <c r="AM100" i="6"/>
  <c r="AM45" i="6"/>
  <c r="AM52" i="6"/>
  <c r="AM29" i="6"/>
  <c r="AM50" i="6"/>
  <c r="AM77" i="6"/>
  <c r="AM27" i="6"/>
  <c r="AM49" i="6"/>
  <c r="AM67" i="6"/>
  <c r="AM48" i="6"/>
  <c r="AM97" i="6"/>
  <c r="AM104" i="6"/>
  <c r="AM58" i="6"/>
  <c r="AM21" i="6"/>
  <c r="AM34" i="6"/>
  <c r="AM88" i="6"/>
  <c r="AM101" i="6"/>
  <c r="AM82" i="6"/>
  <c r="AM25" i="6"/>
  <c r="AM83" i="6"/>
  <c r="AM65" i="6"/>
  <c r="AM74" i="6"/>
  <c r="AM78" i="6"/>
  <c r="AM99" i="6"/>
  <c r="AM17" i="6"/>
  <c r="AM98" i="6"/>
  <c r="AM76" i="6"/>
  <c r="AM90" i="6"/>
  <c r="AM107" i="6"/>
  <c r="AM51" i="6"/>
  <c r="AM61" i="6"/>
  <c r="AM79" i="6"/>
  <c r="AM40" i="6"/>
  <c r="AM43" i="6"/>
  <c r="AM105" i="6"/>
  <c r="AM19" i="6"/>
  <c r="AM57" i="6"/>
  <c r="D5" i="2"/>
  <c r="L4" i="18"/>
  <c r="F5" i="2"/>
  <c r="H5" i="2"/>
  <c r="E5" i="2"/>
  <c r="G5" i="2"/>
  <c r="I5" i="2"/>
  <c r="N9" i="6" l="1"/>
  <c r="AA9" i="6" s="1"/>
  <c r="N11" i="6"/>
  <c r="N12" i="6"/>
  <c r="N10" i="6"/>
  <c r="AA10" i="6" s="1"/>
  <c r="N14" i="6"/>
  <c r="N13" i="6"/>
  <c r="N8" i="6"/>
  <c r="AH14" i="6" l="1"/>
  <c r="AJ14" i="6"/>
  <c r="AJ12" i="6"/>
  <c r="AH12" i="6"/>
  <c r="AJ11" i="6"/>
  <c r="AH11" i="6"/>
  <c r="AJ13" i="6"/>
  <c r="AH13" i="6"/>
  <c r="AH10" i="6"/>
  <c r="AJ10" i="6"/>
  <c r="AJ9" i="6"/>
  <c r="AH9" i="6"/>
  <c r="AJ8" i="6"/>
  <c r="AH8" i="6"/>
  <c r="AA8" i="6"/>
  <c r="P8" i="6"/>
  <c r="AG8" i="6" s="1"/>
  <c r="AG13" i="6"/>
  <c r="H13" i="6"/>
  <c r="AG14" i="6"/>
  <c r="H14" i="6"/>
  <c r="AG12" i="6"/>
  <c r="H12" i="6"/>
  <c r="AG11" i="6"/>
  <c r="H11" i="6"/>
  <c r="AC13" i="6"/>
  <c r="AC12" i="6"/>
  <c r="AC14" i="6"/>
  <c r="AC10" i="6"/>
  <c r="AC11" i="6"/>
  <c r="AC9" i="6"/>
  <c r="AC8" i="6"/>
  <c r="P13" i="6"/>
  <c r="Q13" i="6"/>
  <c r="O13" i="6"/>
  <c r="AK13" i="6" s="1"/>
  <c r="AM13" i="6"/>
  <c r="B13" i="6"/>
  <c r="Q10" i="6"/>
  <c r="P10" i="6"/>
  <c r="AG10" i="6" s="1"/>
  <c r="O10" i="6"/>
  <c r="AK10" i="6" s="1"/>
  <c r="AM10" i="6"/>
  <c r="Q12" i="6"/>
  <c r="O12" i="6"/>
  <c r="AK12" i="6" s="1"/>
  <c r="AM12" i="6"/>
  <c r="P12" i="6"/>
  <c r="B12" i="6"/>
  <c r="Q11" i="6"/>
  <c r="P11" i="6"/>
  <c r="AM11" i="6"/>
  <c r="O11" i="6"/>
  <c r="AK11" i="6" s="1"/>
  <c r="AM14" i="6"/>
  <c r="P14" i="6"/>
  <c r="Q14" i="6"/>
  <c r="O14" i="6"/>
  <c r="AK14" i="6" s="1"/>
  <c r="AL14" i="6" s="1"/>
  <c r="AF14" i="6" s="1"/>
  <c r="B14" i="6"/>
  <c r="P9" i="6"/>
  <c r="AG9" i="6" s="1"/>
  <c r="Q9" i="6"/>
  <c r="O9" i="6"/>
  <c r="AK9" i="6" s="1"/>
  <c r="AM9" i="6"/>
  <c r="O8" i="6"/>
  <c r="AK8" i="6" s="1"/>
  <c r="AL15" i="6" s="1"/>
  <c r="AX8" i="6"/>
  <c r="B8" i="6"/>
  <c r="Q8" i="6"/>
  <c r="AM8" i="6"/>
  <c r="B11" i="6"/>
  <c r="B9" i="6"/>
  <c r="B10" i="6"/>
  <c r="J14" i="6" l="1"/>
  <c r="AF15" i="6"/>
  <c r="J15" i="6" s="1"/>
  <c r="AL12" i="6"/>
  <c r="AF12" i="6" s="1"/>
  <c r="J12" i="6" s="1"/>
  <c r="AL13" i="6"/>
  <c r="AF13" i="6" s="1"/>
  <c r="J13" i="6" s="1"/>
  <c r="AX9" i="6"/>
  <c r="AX10" i="6" s="1"/>
  <c r="AX11" i="6" s="1"/>
  <c r="AX12" i="6" s="1"/>
  <c r="AX13" i="6" s="1"/>
  <c r="AX14" i="6" s="1"/>
  <c r="AX15" i="6" s="1"/>
  <c r="AX16" i="6" s="1"/>
  <c r="AX17" i="6" s="1"/>
  <c r="AX18" i="6" s="1"/>
  <c r="AX19" i="6" s="1"/>
  <c r="AX20" i="6" s="1"/>
  <c r="AX21" i="6" s="1"/>
  <c r="AX22" i="6" s="1"/>
  <c r="AX23" i="6" s="1"/>
  <c r="AX24" i="6" s="1"/>
  <c r="AX25" i="6" s="1"/>
  <c r="AX26" i="6" s="1"/>
  <c r="AX27" i="6" s="1"/>
  <c r="AX28" i="6" s="1"/>
  <c r="AX29" i="6" s="1"/>
  <c r="AX30" i="6" s="1"/>
  <c r="AX31" i="6" s="1"/>
  <c r="AX32" i="6" s="1"/>
  <c r="AX33" i="6" s="1"/>
  <c r="AX34" i="6" s="1"/>
  <c r="AX35" i="6" s="1"/>
  <c r="AX36" i="6" s="1"/>
  <c r="AX37" i="6" s="1"/>
  <c r="AX38" i="6" s="1"/>
  <c r="AX39" i="6" s="1"/>
  <c r="AX40" i="6" s="1"/>
  <c r="AX41" i="6" s="1"/>
  <c r="AX42" i="6" s="1"/>
  <c r="AX43" i="6" s="1"/>
  <c r="AX44" i="6" s="1"/>
  <c r="AX45" i="6" s="1"/>
  <c r="AX46" i="6" s="1"/>
  <c r="AX47" i="6" s="1"/>
  <c r="AX48" i="6" s="1"/>
  <c r="AX49" i="6" s="1"/>
  <c r="AX50" i="6" s="1"/>
  <c r="AX51" i="6" s="1"/>
  <c r="AX52" i="6" s="1"/>
  <c r="AX53" i="6" s="1"/>
  <c r="AX54" i="6" s="1"/>
  <c r="AX55" i="6" s="1"/>
  <c r="AX56" i="6" s="1"/>
  <c r="AX57" i="6" s="1"/>
  <c r="AX58" i="6" s="1"/>
  <c r="AX59" i="6" s="1"/>
  <c r="AX60" i="6" s="1"/>
  <c r="AX61" i="6" s="1"/>
  <c r="AX62" i="6" s="1"/>
  <c r="AX63" i="6" s="1"/>
  <c r="AX64" i="6" s="1"/>
  <c r="AX65" i="6" s="1"/>
  <c r="AX66" i="6" s="1"/>
  <c r="AX67" i="6" s="1"/>
  <c r="AX68" i="6" s="1"/>
  <c r="AX69" i="6" s="1"/>
  <c r="AX70" i="6" s="1"/>
  <c r="AX71" i="6" s="1"/>
  <c r="AX72" i="6" s="1"/>
  <c r="AX73" i="6" s="1"/>
  <c r="AX74" i="6" s="1"/>
  <c r="AX75" i="6" s="1"/>
  <c r="AX76" i="6" s="1"/>
  <c r="AX77" i="6" s="1"/>
  <c r="AX78" i="6" s="1"/>
  <c r="AX79" i="6" s="1"/>
  <c r="AX80" i="6" s="1"/>
  <c r="AX81" i="6" s="1"/>
  <c r="AX82" i="6" s="1"/>
  <c r="AX83" i="6" s="1"/>
  <c r="AX84" i="6" s="1"/>
  <c r="AX85" i="6" s="1"/>
  <c r="AX86" i="6" s="1"/>
  <c r="AX87" i="6" s="1"/>
  <c r="AX88" i="6" s="1"/>
  <c r="AX89" i="6" s="1"/>
  <c r="AX90" i="6" s="1"/>
  <c r="AX91" i="6" s="1"/>
  <c r="AX92" i="6" s="1"/>
  <c r="AX93" i="6" s="1"/>
  <c r="AX94" i="6" s="1"/>
  <c r="AX95" i="6" s="1"/>
  <c r="AX96" i="6" s="1"/>
  <c r="AX97" i="6" s="1"/>
  <c r="AX98" i="6" s="1"/>
  <c r="AX99" i="6" s="1"/>
  <c r="AX100" i="6" s="1"/>
  <c r="AX101" i="6" s="1"/>
  <c r="AX102" i="6" s="1"/>
  <c r="AX103" i="6" s="1"/>
  <c r="AX104" i="6" s="1"/>
  <c r="AX105" i="6" s="1"/>
  <c r="AX106" i="6" s="1"/>
  <c r="AX107" i="6" s="1"/>
  <c r="BB49" i="6" s="1"/>
  <c r="AL10" i="6"/>
  <c r="AF10" i="6" s="1"/>
  <c r="J10" i="6" s="1"/>
  <c r="H10" i="6" s="1"/>
  <c r="AL11" i="6"/>
  <c r="AF11" i="6" s="1"/>
  <c r="J11" i="6" s="1"/>
  <c r="AL9" i="6"/>
  <c r="AF9" i="6" s="1"/>
  <c r="J9" i="6" s="1"/>
  <c r="H9" i="6" s="1"/>
  <c r="AL8" i="6"/>
  <c r="AF8" i="6" s="1"/>
  <c r="J8" i="6" s="1"/>
  <c r="H8" i="6" s="1"/>
  <c r="BB8" i="6" l="1"/>
  <c r="BA8" i="6" s="1"/>
  <c r="BB9" i="6"/>
  <c r="BA9" i="6" s="1"/>
  <c r="BB11" i="6"/>
  <c r="BA11" i="6" s="1"/>
  <c r="BB10" i="6"/>
  <c r="BA10" i="6" s="1"/>
  <c r="G4" i="6" a="1"/>
  <c r="G4" i="6" s="1"/>
  <c r="BB29" i="6"/>
  <c r="BA29" i="6" s="1"/>
  <c r="BB44" i="6"/>
  <c r="AZ44" i="6" s="1"/>
  <c r="BB15" i="6"/>
  <c r="BB28" i="6"/>
  <c r="AZ28" i="6" s="1"/>
  <c r="BB55" i="6"/>
  <c r="BA55" i="6" s="1"/>
  <c r="BB35" i="6"/>
  <c r="BC35" i="6" s="1"/>
  <c r="BB46" i="6"/>
  <c r="BC46" i="6" s="1"/>
  <c r="BB23" i="6"/>
  <c r="BA23" i="6" s="1"/>
  <c r="BB90" i="6"/>
  <c r="BA90" i="6" s="1"/>
  <c r="BB77" i="6"/>
  <c r="BA77" i="6" s="1"/>
  <c r="BB91" i="6"/>
  <c r="AZ91" i="6" s="1"/>
  <c r="BB36" i="6"/>
  <c r="BA36" i="6" s="1"/>
  <c r="BB43" i="6"/>
  <c r="AZ43" i="6" s="1"/>
  <c r="BB102" i="6"/>
  <c r="BA102" i="6" s="1"/>
  <c r="BB93" i="6"/>
  <c r="BA93" i="6" s="1"/>
  <c r="BB67" i="6"/>
  <c r="BA67" i="6" s="1"/>
  <c r="BB42" i="6"/>
  <c r="BA42" i="6" s="1"/>
  <c r="BB106" i="6"/>
  <c r="BA106" i="6" s="1"/>
  <c r="BB27" i="6"/>
  <c r="BA27" i="6" s="1"/>
  <c r="BB94" i="6"/>
  <c r="BA94" i="6" s="1"/>
  <c r="BB69" i="6"/>
  <c r="BA69" i="6" s="1"/>
  <c r="BB17" i="6"/>
  <c r="BA17" i="6" s="1"/>
  <c r="BB22" i="6"/>
  <c r="AZ22" i="6" s="1"/>
  <c r="BB34" i="6"/>
  <c r="BC34" i="6" s="1"/>
  <c r="BB61" i="6"/>
  <c r="AZ61" i="6" s="1"/>
  <c r="BB37" i="6"/>
  <c r="BA37" i="6" s="1"/>
  <c r="BB68" i="6"/>
  <c r="AZ68" i="6" s="1"/>
  <c r="BB12" i="6"/>
  <c r="BA12" i="6" s="1"/>
  <c r="BB85" i="6"/>
  <c r="BA85" i="6" s="1"/>
  <c r="BB92" i="6"/>
  <c r="AZ92" i="6" s="1"/>
  <c r="BB84" i="6"/>
  <c r="BA84" i="6" s="1"/>
  <c r="BB47" i="6"/>
  <c r="BC47" i="6" s="1"/>
  <c r="BB51" i="6"/>
  <c r="BA51" i="6" s="1"/>
  <c r="BB103" i="6"/>
  <c r="BC103" i="6" s="1"/>
  <c r="BB62" i="6"/>
  <c r="BA62" i="6" s="1"/>
  <c r="BB82" i="6"/>
  <c r="BA82" i="6" s="1"/>
  <c r="BB66" i="6"/>
  <c r="AZ66" i="6" s="1"/>
  <c r="BB86" i="6"/>
  <c r="BA86" i="6" s="1"/>
  <c r="BB19" i="6"/>
  <c r="BA19" i="6" s="1"/>
  <c r="BB99" i="6"/>
  <c r="BA99" i="6" s="1"/>
  <c r="BB57" i="6"/>
  <c r="BA57" i="6" s="1"/>
  <c r="BB70" i="6"/>
  <c r="AZ70" i="6" s="1"/>
  <c r="BB95" i="6"/>
  <c r="BC95" i="6" s="1"/>
  <c r="BB104" i="6"/>
  <c r="BA104" i="6" s="1"/>
  <c r="BB79" i="6"/>
  <c r="BA79" i="6" s="1"/>
  <c r="BB40" i="6"/>
  <c r="BC40" i="6" s="1"/>
  <c r="BB25" i="6"/>
  <c r="BA25" i="6" s="1"/>
  <c r="BB107" i="6"/>
  <c r="BA107" i="6" s="1"/>
  <c r="BB60" i="6"/>
  <c r="BA60" i="6" s="1"/>
  <c r="BB100" i="6"/>
  <c r="AZ100" i="6" s="1"/>
  <c r="BB52" i="6"/>
  <c r="BA52" i="6" s="1"/>
  <c r="BB58" i="6"/>
  <c r="BC58" i="6" s="1"/>
  <c r="BB38" i="6"/>
  <c r="AZ38" i="6" s="1"/>
  <c r="BB56" i="6"/>
  <c r="BC56" i="6" s="1"/>
  <c r="BB80" i="6"/>
  <c r="BA80" i="6" s="1"/>
  <c r="BB74" i="6"/>
  <c r="BA74" i="6" s="1"/>
  <c r="BB14" i="6"/>
  <c r="BB105" i="6"/>
  <c r="AZ105" i="6" s="1"/>
  <c r="BB31" i="6"/>
  <c r="AZ31" i="6" s="1"/>
  <c r="BB72" i="6"/>
  <c r="BA72" i="6" s="1"/>
  <c r="BB59" i="6"/>
  <c r="AZ59" i="6" s="1"/>
  <c r="BB71" i="6"/>
  <c r="BA71" i="6" s="1"/>
  <c r="BB16" i="6"/>
  <c r="BA16" i="6" s="1"/>
  <c r="BB53" i="6"/>
  <c r="BB98" i="6"/>
  <c r="BB89" i="6"/>
  <c r="BB39" i="6"/>
  <c r="BB30" i="6"/>
  <c r="BB75" i="6"/>
  <c r="BB96" i="6"/>
  <c r="BB48" i="6"/>
  <c r="BB32" i="6"/>
  <c r="BB63" i="6"/>
  <c r="BB73" i="6"/>
  <c r="BB33" i="6"/>
  <c r="BB41" i="6"/>
  <c r="BB88" i="6"/>
  <c r="BB78" i="6"/>
  <c r="BB20" i="6"/>
  <c r="BB54" i="6"/>
  <c r="BB101" i="6"/>
  <c r="BB18" i="6"/>
  <c r="BB87" i="6"/>
  <c r="BB24" i="6"/>
  <c r="BB64" i="6"/>
  <c r="BB50" i="6"/>
  <c r="BB13" i="6"/>
  <c r="BB21" i="6"/>
  <c r="BB26" i="6"/>
  <c r="BB83" i="6"/>
  <c r="BB45" i="6"/>
  <c r="BA49" i="6"/>
  <c r="BC49" i="6"/>
  <c r="AZ49" i="6"/>
  <c r="BB65" i="6"/>
  <c r="BB97" i="6"/>
  <c r="BB81" i="6"/>
  <c r="BB76" i="6"/>
  <c r="BC37" i="6" l="1"/>
  <c r="AO37" i="6" s="1"/>
  <c r="AU37" i="6" s="1"/>
  <c r="BC29" i="6"/>
  <c r="AO29" i="6" s="1"/>
  <c r="AU29" i="6" s="1"/>
  <c r="AZ77" i="6"/>
  <c r="BC77" i="6"/>
  <c r="AO77" i="6" s="1"/>
  <c r="AU77" i="6" s="1"/>
  <c r="BC106" i="6"/>
  <c r="AO106" i="6" s="1"/>
  <c r="AU106" i="6" s="1"/>
  <c r="BA44" i="6"/>
  <c r="BA103" i="6"/>
  <c r="BA61" i="6"/>
  <c r="AZ90" i="6"/>
  <c r="AZ29" i="6"/>
  <c r="I3" i="6"/>
  <c r="BC69" i="6"/>
  <c r="AO69" i="6" s="1"/>
  <c r="AU69" i="6" s="1"/>
  <c r="AZ69" i="6"/>
  <c r="AZ37" i="6"/>
  <c r="BA105" i="6"/>
  <c r="AZ79" i="6"/>
  <c r="BC66" i="6"/>
  <c r="AO66" i="6" s="1"/>
  <c r="AU66" i="6" s="1"/>
  <c r="AZ106" i="6"/>
  <c r="BA66" i="6"/>
  <c r="BC43" i="6"/>
  <c r="AO43" i="6" s="1"/>
  <c r="AU43" i="6" s="1"/>
  <c r="BC38" i="6"/>
  <c r="AO38" i="6" s="1"/>
  <c r="AU38" i="6" s="1"/>
  <c r="BC79" i="6"/>
  <c r="AO79" i="6" s="1"/>
  <c r="AU79" i="6" s="1"/>
  <c r="AZ103" i="6"/>
  <c r="BC85" i="6"/>
  <c r="AO85" i="6" s="1"/>
  <c r="AU85" i="6" s="1"/>
  <c r="BC44" i="6"/>
  <c r="AO44" i="6" s="1"/>
  <c r="AU44" i="6" s="1"/>
  <c r="AZ85" i="6"/>
  <c r="BC70" i="6"/>
  <c r="AO70" i="6" s="1"/>
  <c r="AU70" i="6" s="1"/>
  <c r="BA70" i="6"/>
  <c r="BA15" i="6"/>
  <c r="BA91" i="6"/>
  <c r="BC68" i="6"/>
  <c r="AO68" i="6" s="1"/>
  <c r="BC52" i="6"/>
  <c r="AO52" i="6" s="1"/>
  <c r="AU52" i="6" s="1"/>
  <c r="BA38" i="6"/>
  <c r="BA68" i="6"/>
  <c r="AZ52" i="6"/>
  <c r="BC31" i="6"/>
  <c r="AO31" i="6" s="1"/>
  <c r="AU31" i="6" s="1"/>
  <c r="AZ95" i="6"/>
  <c r="BA95" i="6"/>
  <c r="BA31" i="6"/>
  <c r="BC27" i="6"/>
  <c r="AO27" i="6" s="1"/>
  <c r="AZ62" i="6"/>
  <c r="BC62" i="6"/>
  <c r="AO62" i="6" s="1"/>
  <c r="BC91" i="6"/>
  <c r="AO91" i="6" s="1"/>
  <c r="AU91" i="6" s="1"/>
  <c r="AZ27" i="6"/>
  <c r="BC59" i="6"/>
  <c r="AO59" i="6" s="1"/>
  <c r="BA59" i="6"/>
  <c r="AO56" i="6"/>
  <c r="AU56" i="6" s="1"/>
  <c r="AO95" i="6"/>
  <c r="AO46" i="6"/>
  <c r="AO40" i="6"/>
  <c r="AU40" i="6" s="1"/>
  <c r="AO103" i="6"/>
  <c r="AU103" i="6" s="1"/>
  <c r="AO58" i="6"/>
  <c r="AU58" i="6" s="1"/>
  <c r="AO35" i="6"/>
  <c r="AU35" i="6" s="1"/>
  <c r="AO49" i="6"/>
  <c r="AU49" i="6" s="1"/>
  <c r="AO47" i="6"/>
  <c r="AU47" i="6" s="1"/>
  <c r="AO34" i="6"/>
  <c r="BC57" i="6"/>
  <c r="BA43" i="6"/>
  <c r="BC55" i="6"/>
  <c r="BA47" i="6"/>
  <c r="BC28" i="6"/>
  <c r="AO28" i="6" s="1"/>
  <c r="AU28" i="6" s="1"/>
  <c r="AZ55" i="6"/>
  <c r="AZ94" i="6"/>
  <c r="BC107" i="6"/>
  <c r="AO107" i="6" s="1"/>
  <c r="AU107" i="6" s="1"/>
  <c r="BC99" i="6"/>
  <c r="AZ107" i="6"/>
  <c r="BA34" i="6"/>
  <c r="AZ99" i="6"/>
  <c r="AZ34" i="6"/>
  <c r="BC23" i="6"/>
  <c r="AO23" i="6" s="1"/>
  <c r="AU23" i="6" s="1"/>
  <c r="AZ23" i="6"/>
  <c r="AZ74" i="6"/>
  <c r="AZ67" i="6"/>
  <c r="BC74" i="6"/>
  <c r="AZ47" i="6"/>
  <c r="BC67" i="6"/>
  <c r="BC94" i="6"/>
  <c r="AO94" i="6" s="1"/>
  <c r="AU94" i="6" s="1"/>
  <c r="BA28" i="6"/>
  <c r="AZ58" i="6"/>
  <c r="BC36" i="6"/>
  <c r="AO36" i="6" s="1"/>
  <c r="AU36" i="6" s="1"/>
  <c r="AZ36" i="6"/>
  <c r="BC104" i="6"/>
  <c r="AO104" i="6" s="1"/>
  <c r="AU104" i="6" s="1"/>
  <c r="BA56" i="6"/>
  <c r="BA92" i="6"/>
  <c r="BA40" i="6"/>
  <c r="AZ46" i="6"/>
  <c r="BA35" i="6"/>
  <c r="BC22" i="6"/>
  <c r="AO22" i="6" s="1"/>
  <c r="AU22" i="6" s="1"/>
  <c r="AZ19" i="6"/>
  <c r="AZ16" i="6"/>
  <c r="AZ86" i="6"/>
  <c r="BA22" i="6"/>
  <c r="BC93" i="6"/>
  <c r="AO93" i="6" s="1"/>
  <c r="AU93" i="6" s="1"/>
  <c r="BC19" i="6"/>
  <c r="AO19" i="6" s="1"/>
  <c r="AU19" i="6" s="1"/>
  <c r="BA46" i="6"/>
  <c r="BC84" i="6"/>
  <c r="AO84" i="6" s="1"/>
  <c r="AU84" i="6" s="1"/>
  <c r="BC16" i="6"/>
  <c r="AO16" i="6" s="1"/>
  <c r="AU16" i="6" s="1"/>
  <c r="BC86" i="6"/>
  <c r="AO86" i="6" s="1"/>
  <c r="AU86" i="6" s="1"/>
  <c r="AZ93" i="6"/>
  <c r="AZ102" i="6"/>
  <c r="BC17" i="6"/>
  <c r="AO17" i="6" s="1"/>
  <c r="AU17" i="6" s="1"/>
  <c r="AZ80" i="6"/>
  <c r="BC102" i="6"/>
  <c r="AO102" i="6" s="1"/>
  <c r="AU102" i="6" s="1"/>
  <c r="BC25" i="6"/>
  <c r="AO25" i="6" s="1"/>
  <c r="AU25" i="6" s="1"/>
  <c r="AZ71" i="6"/>
  <c r="AZ84" i="6"/>
  <c r="BC71" i="6"/>
  <c r="AZ56" i="6"/>
  <c r="AZ17" i="6"/>
  <c r="AZ40" i="6"/>
  <c r="BC92" i="6"/>
  <c r="AO92" i="6" s="1"/>
  <c r="AU92" i="6" s="1"/>
  <c r="BC80" i="6"/>
  <c r="AO80" i="6" s="1"/>
  <c r="AU80" i="6" s="1"/>
  <c r="AZ35" i="6"/>
  <c r="BC90" i="6"/>
  <c r="AO90" i="6" s="1"/>
  <c r="AU90" i="6" s="1"/>
  <c r="AZ57" i="6"/>
  <c r="BA14" i="6"/>
  <c r="AZ42" i="6"/>
  <c r="BC42" i="6"/>
  <c r="AO42" i="6" s="1"/>
  <c r="AU42" i="6" s="1"/>
  <c r="BC60" i="6"/>
  <c r="AO60" i="6" s="1"/>
  <c r="AU60" i="6" s="1"/>
  <c r="AZ60" i="6"/>
  <c r="BC51" i="6"/>
  <c r="AO51" i="6" s="1"/>
  <c r="AU51" i="6" s="1"/>
  <c r="BC61" i="6"/>
  <c r="AO61" i="6" s="1"/>
  <c r="AU61" i="6" s="1"/>
  <c r="AZ25" i="6"/>
  <c r="AZ51" i="6"/>
  <c r="BA58" i="6"/>
  <c r="AZ104" i="6"/>
  <c r="BC100" i="6"/>
  <c r="AO100" i="6" s="1"/>
  <c r="AU100" i="6" s="1"/>
  <c r="BA100" i="6"/>
  <c r="AZ82" i="6"/>
  <c r="BC72" i="6"/>
  <c r="AO72" i="6" s="1"/>
  <c r="AU72" i="6" s="1"/>
  <c r="BC82" i="6"/>
  <c r="AO82" i="6" s="1"/>
  <c r="AU82" i="6" s="1"/>
  <c r="BC105" i="6"/>
  <c r="AO105" i="6" s="1"/>
  <c r="AU105" i="6" s="1"/>
  <c r="AZ72" i="6"/>
  <c r="BA76" i="6"/>
  <c r="AZ76" i="6"/>
  <c r="BC76" i="6"/>
  <c r="BA64" i="6"/>
  <c r="BC64" i="6"/>
  <c r="AZ64" i="6"/>
  <c r="BA32" i="6"/>
  <c r="AZ32" i="6"/>
  <c r="BC32" i="6"/>
  <c r="BA53" i="6"/>
  <c r="AZ53" i="6"/>
  <c r="BC53" i="6"/>
  <c r="BA81" i="6"/>
  <c r="AZ81" i="6"/>
  <c r="BC81" i="6"/>
  <c r="BA48" i="6"/>
  <c r="AZ48" i="6"/>
  <c r="BC48" i="6"/>
  <c r="BA45" i="6"/>
  <c r="AZ45" i="6"/>
  <c r="BC45" i="6"/>
  <c r="BA87" i="6"/>
  <c r="BC87" i="6"/>
  <c r="AZ87" i="6"/>
  <c r="BA78" i="6"/>
  <c r="BC78" i="6"/>
  <c r="AZ78" i="6"/>
  <c r="BA96" i="6"/>
  <c r="BC96" i="6"/>
  <c r="AZ96" i="6"/>
  <c r="BA20" i="6"/>
  <c r="AZ20" i="6"/>
  <c r="BC20" i="6"/>
  <c r="AO20" i="6" s="1"/>
  <c r="AU20" i="6" s="1"/>
  <c r="BA83" i="6"/>
  <c r="AZ83" i="6"/>
  <c r="BC83" i="6"/>
  <c r="BA18" i="6"/>
  <c r="AZ18" i="6"/>
  <c r="BC18" i="6"/>
  <c r="AO18" i="6" s="1"/>
  <c r="AU18" i="6" s="1"/>
  <c r="BA88" i="6"/>
  <c r="AZ88" i="6"/>
  <c r="BC88" i="6"/>
  <c r="BA75" i="6"/>
  <c r="AZ75" i="6"/>
  <c r="BC75" i="6"/>
  <c r="BA26" i="6"/>
  <c r="BC26" i="6"/>
  <c r="AZ26" i="6"/>
  <c r="BA101" i="6"/>
  <c r="AZ101" i="6"/>
  <c r="BC101" i="6"/>
  <c r="BA41" i="6"/>
  <c r="AZ41" i="6"/>
  <c r="BC41" i="6"/>
  <c r="BA30" i="6"/>
  <c r="BC30" i="6"/>
  <c r="AZ30" i="6"/>
  <c r="BB6" i="6" a="1"/>
  <c r="BB6" i="6" s="1"/>
  <c r="BA97" i="6"/>
  <c r="AZ97" i="6"/>
  <c r="BC97" i="6"/>
  <c r="BA21" i="6"/>
  <c r="AZ21" i="6"/>
  <c r="BC21" i="6"/>
  <c r="AO21" i="6" s="1"/>
  <c r="AU21" i="6" s="1"/>
  <c r="BA54" i="6"/>
  <c r="BC54" i="6"/>
  <c r="AZ54" i="6"/>
  <c r="BA33" i="6"/>
  <c r="AZ33" i="6"/>
  <c r="BC33" i="6"/>
  <c r="BA39" i="6"/>
  <c r="AZ39" i="6"/>
  <c r="BC39" i="6"/>
  <c r="BA24" i="6"/>
  <c r="BC24" i="6"/>
  <c r="AZ24" i="6"/>
  <c r="BA65" i="6"/>
  <c r="AZ65" i="6"/>
  <c r="BC65" i="6"/>
  <c r="BA13" i="6"/>
  <c r="BA73" i="6"/>
  <c r="AZ73" i="6"/>
  <c r="BC73" i="6"/>
  <c r="BA89" i="6"/>
  <c r="AZ89" i="6"/>
  <c r="BC89" i="6"/>
  <c r="BA50" i="6"/>
  <c r="BC50" i="6"/>
  <c r="AZ50" i="6"/>
  <c r="BA63" i="6"/>
  <c r="BC63" i="6"/>
  <c r="AZ63" i="6"/>
  <c r="BA98" i="6"/>
  <c r="BC98" i="6"/>
  <c r="AZ98" i="6"/>
  <c r="BA2" i="6"/>
  <c r="AV62" i="6" l="1"/>
  <c r="AU62" i="6"/>
  <c r="AV46" i="6"/>
  <c r="AU46" i="6"/>
  <c r="AV68" i="6"/>
  <c r="AU68" i="6"/>
  <c r="AV59" i="6"/>
  <c r="AU59" i="6"/>
  <c r="AV95" i="6"/>
  <c r="AU95" i="6"/>
  <c r="AV34" i="6"/>
  <c r="AU34" i="6"/>
  <c r="AV27" i="6"/>
  <c r="AU27" i="6"/>
  <c r="AP42" i="6"/>
  <c r="AQ42" i="6"/>
  <c r="AR42" i="6"/>
  <c r="AS42" i="6"/>
  <c r="AT42" i="6"/>
  <c r="AO54" i="6"/>
  <c r="AU54" i="6" s="1"/>
  <c r="AO88" i="6"/>
  <c r="AU88" i="6" s="1"/>
  <c r="AO78" i="6"/>
  <c r="AU78" i="6" s="1"/>
  <c r="AO48" i="6"/>
  <c r="AU48" i="6" s="1"/>
  <c r="AS100" i="6"/>
  <c r="AT100" i="6"/>
  <c r="AP100" i="6"/>
  <c r="AQ100" i="6"/>
  <c r="AR100" i="6"/>
  <c r="AR60" i="6"/>
  <c r="AS60" i="6"/>
  <c r="AT60" i="6"/>
  <c r="AP60" i="6"/>
  <c r="AQ60" i="6"/>
  <c r="AS92" i="6"/>
  <c r="AT92" i="6"/>
  <c r="AP92" i="6"/>
  <c r="AQ92" i="6"/>
  <c r="AR92" i="6"/>
  <c r="AP102" i="6"/>
  <c r="AQ102" i="6"/>
  <c r="AR102" i="6"/>
  <c r="AS102" i="6"/>
  <c r="AT102" i="6"/>
  <c r="AP34" i="6"/>
  <c r="AQ34" i="6"/>
  <c r="AR34" i="6"/>
  <c r="AS34" i="6"/>
  <c r="AT34" i="6"/>
  <c r="AR68" i="6"/>
  <c r="AS68" i="6"/>
  <c r="AT68" i="6"/>
  <c r="AP68" i="6"/>
  <c r="AQ68" i="6"/>
  <c r="AQ27" i="6"/>
  <c r="AR27" i="6"/>
  <c r="AS27" i="6"/>
  <c r="AT27" i="6"/>
  <c r="AP27" i="6"/>
  <c r="AT62" i="6"/>
  <c r="AP62" i="6"/>
  <c r="AQ62" i="6"/>
  <c r="AR62" i="6"/>
  <c r="AS62" i="6"/>
  <c r="AQ59" i="6"/>
  <c r="AR59" i="6"/>
  <c r="AS59" i="6"/>
  <c r="AT59" i="6"/>
  <c r="AP59" i="6"/>
  <c r="AT46" i="6"/>
  <c r="AP46" i="6"/>
  <c r="AQ46" i="6"/>
  <c r="AR46" i="6"/>
  <c r="AS46" i="6"/>
  <c r="AP95" i="6"/>
  <c r="AQ95" i="6"/>
  <c r="AR95" i="6"/>
  <c r="AS95" i="6"/>
  <c r="AT95" i="6"/>
  <c r="AQ19" i="6"/>
  <c r="AR19" i="6"/>
  <c r="AS19" i="6"/>
  <c r="AT19" i="6"/>
  <c r="AP19" i="6"/>
  <c r="AO30" i="6"/>
  <c r="AU30" i="6" s="1"/>
  <c r="AP17" i="6"/>
  <c r="AQ17" i="6"/>
  <c r="AR17" i="6"/>
  <c r="AS17" i="6"/>
  <c r="AT17" i="6"/>
  <c r="AT93" i="6"/>
  <c r="AP93" i="6"/>
  <c r="AQ93" i="6"/>
  <c r="AR93" i="6"/>
  <c r="AS93" i="6"/>
  <c r="AP94" i="6"/>
  <c r="AQ94" i="6"/>
  <c r="AR94" i="6"/>
  <c r="AS94" i="6"/>
  <c r="AT94" i="6"/>
  <c r="AR28" i="6"/>
  <c r="AS28" i="6"/>
  <c r="AT28" i="6"/>
  <c r="AP28" i="6"/>
  <c r="AQ28" i="6"/>
  <c r="AP47" i="6"/>
  <c r="AQ47" i="6"/>
  <c r="AR47" i="6"/>
  <c r="AS47" i="6"/>
  <c r="AT47" i="6"/>
  <c r="AQ91" i="6"/>
  <c r="AR91" i="6"/>
  <c r="AS91" i="6"/>
  <c r="AT91" i="6"/>
  <c r="AP91" i="6"/>
  <c r="AR44" i="6"/>
  <c r="AS44" i="6"/>
  <c r="AT44" i="6"/>
  <c r="AP44" i="6"/>
  <c r="AQ44" i="6"/>
  <c r="AR52" i="6"/>
  <c r="AS52" i="6"/>
  <c r="AT52" i="6"/>
  <c r="AP52" i="6"/>
  <c r="AQ52" i="6"/>
  <c r="AQ35" i="6"/>
  <c r="AR35" i="6"/>
  <c r="AS35" i="6"/>
  <c r="AT35" i="6"/>
  <c r="AP35" i="6"/>
  <c r="AP103" i="6"/>
  <c r="AQ103" i="6"/>
  <c r="AT103" i="6"/>
  <c r="AS103" i="6"/>
  <c r="AR103" i="6"/>
  <c r="AS69" i="6"/>
  <c r="AT69" i="6"/>
  <c r="AP69" i="6"/>
  <c r="AQ69" i="6"/>
  <c r="AR69" i="6"/>
  <c r="AS37" i="6"/>
  <c r="AT37" i="6"/>
  <c r="AP37" i="6"/>
  <c r="AQ37" i="6"/>
  <c r="AR37" i="6"/>
  <c r="AR20" i="6"/>
  <c r="AS20" i="6"/>
  <c r="AT20" i="6"/>
  <c r="AP20" i="6"/>
  <c r="AQ20" i="6"/>
  <c r="AO65" i="6"/>
  <c r="AU65" i="6" s="1"/>
  <c r="AO26" i="6"/>
  <c r="AP18" i="6"/>
  <c r="AQ18" i="6"/>
  <c r="AR18" i="6"/>
  <c r="AS18" i="6"/>
  <c r="AT18" i="6"/>
  <c r="AO87" i="6"/>
  <c r="AO81" i="6"/>
  <c r="AU81" i="6" s="1"/>
  <c r="AP105" i="6"/>
  <c r="AQ105" i="6"/>
  <c r="AR105" i="6"/>
  <c r="AS105" i="6"/>
  <c r="AT105" i="6"/>
  <c r="AO67" i="6"/>
  <c r="AU67" i="6" s="1"/>
  <c r="AV47" i="6"/>
  <c r="AV91" i="6"/>
  <c r="AV44" i="6"/>
  <c r="AV52" i="6"/>
  <c r="AV35" i="6"/>
  <c r="AV103" i="6"/>
  <c r="AV69" i="6"/>
  <c r="AV37" i="6"/>
  <c r="AO32" i="6"/>
  <c r="AU32" i="6" s="1"/>
  <c r="AO50" i="6"/>
  <c r="AU50" i="6" s="1"/>
  <c r="AO98" i="6"/>
  <c r="AO89" i="6"/>
  <c r="AU89" i="6" s="1"/>
  <c r="AO33" i="6"/>
  <c r="AU33" i="6" s="1"/>
  <c r="AO41" i="6"/>
  <c r="AU41" i="6" s="1"/>
  <c r="AP82" i="6"/>
  <c r="AQ82" i="6"/>
  <c r="AR82" i="6"/>
  <c r="AS82" i="6"/>
  <c r="AT82" i="6"/>
  <c r="AO71" i="6"/>
  <c r="AU71" i="6" s="1"/>
  <c r="AO55" i="6"/>
  <c r="AP79" i="6"/>
  <c r="AQ79" i="6"/>
  <c r="AR79" i="6"/>
  <c r="AS79" i="6"/>
  <c r="AT79" i="6"/>
  <c r="AS77" i="6"/>
  <c r="AT77" i="6"/>
  <c r="AP77" i="6"/>
  <c r="AQ77" i="6"/>
  <c r="AR77" i="6"/>
  <c r="AS29" i="6"/>
  <c r="AT29" i="6"/>
  <c r="AP29" i="6"/>
  <c r="AQ29" i="6"/>
  <c r="AR29" i="6"/>
  <c r="AP58" i="6"/>
  <c r="AQ58" i="6"/>
  <c r="AR58" i="6"/>
  <c r="AS58" i="6"/>
  <c r="AT58" i="6"/>
  <c r="AP106" i="6"/>
  <c r="AQ106" i="6"/>
  <c r="AR106" i="6"/>
  <c r="AS106" i="6"/>
  <c r="AT106" i="6"/>
  <c r="AP66" i="6"/>
  <c r="AQ66" i="6"/>
  <c r="AR66" i="6"/>
  <c r="AS66" i="6"/>
  <c r="AT66" i="6"/>
  <c r="AQ43" i="6"/>
  <c r="AR43" i="6"/>
  <c r="AS43" i="6"/>
  <c r="AT43" i="6"/>
  <c r="AP43" i="6"/>
  <c r="AO97" i="6"/>
  <c r="AU97" i="6" s="1"/>
  <c r="AO75" i="6"/>
  <c r="AU75" i="6" s="1"/>
  <c r="AO96" i="6"/>
  <c r="AO45" i="6"/>
  <c r="AU45" i="6" s="1"/>
  <c r="AO64" i="6"/>
  <c r="AU64" i="6" s="1"/>
  <c r="AP72" i="6"/>
  <c r="AQ72" i="6"/>
  <c r="AR72" i="6"/>
  <c r="AS72" i="6"/>
  <c r="AT72" i="6"/>
  <c r="AS61" i="6"/>
  <c r="AT61" i="6"/>
  <c r="AP61" i="6"/>
  <c r="AQ61" i="6"/>
  <c r="AR61" i="6"/>
  <c r="AP90" i="6"/>
  <c r="AQ90" i="6"/>
  <c r="AR90" i="6"/>
  <c r="AS90" i="6"/>
  <c r="AT90" i="6"/>
  <c r="AT86" i="6"/>
  <c r="AP86" i="6"/>
  <c r="AQ86" i="6"/>
  <c r="AR86" i="6"/>
  <c r="AS86" i="6"/>
  <c r="AP104" i="6"/>
  <c r="AQ104" i="6"/>
  <c r="AR104" i="6"/>
  <c r="AS104" i="6"/>
  <c r="AT104" i="6"/>
  <c r="AO74" i="6"/>
  <c r="AU74" i="6" s="1"/>
  <c r="AV79" i="6"/>
  <c r="AV77" i="6"/>
  <c r="AV29" i="6"/>
  <c r="AV58" i="6"/>
  <c r="AV106" i="6"/>
  <c r="AV66" i="6"/>
  <c r="AV43" i="6"/>
  <c r="AO39" i="6"/>
  <c r="AO83" i="6"/>
  <c r="AO53" i="6"/>
  <c r="AQ51" i="6"/>
  <c r="AR51" i="6"/>
  <c r="AS51" i="6"/>
  <c r="AT51" i="6"/>
  <c r="AP51" i="6"/>
  <c r="AP16" i="6"/>
  <c r="AQ16" i="6"/>
  <c r="AR16" i="6"/>
  <c r="AS16" i="6"/>
  <c r="AT16" i="6"/>
  <c r="AO99" i="6"/>
  <c r="AO57" i="6"/>
  <c r="AS85" i="6"/>
  <c r="AT85" i="6"/>
  <c r="AP85" i="6"/>
  <c r="AQ85" i="6"/>
  <c r="AR85" i="6"/>
  <c r="AP31" i="6"/>
  <c r="AQ31" i="6"/>
  <c r="AR31" i="6"/>
  <c r="AS31" i="6"/>
  <c r="AT31" i="6"/>
  <c r="AP49" i="6"/>
  <c r="AQ49" i="6"/>
  <c r="AR49" i="6"/>
  <c r="AS49" i="6"/>
  <c r="AT49" i="6"/>
  <c r="AT70" i="6"/>
  <c r="AP70" i="6"/>
  <c r="AQ70" i="6"/>
  <c r="AR70" i="6"/>
  <c r="AS70" i="6"/>
  <c r="AP40" i="6"/>
  <c r="AQ40" i="6"/>
  <c r="AR40" i="6"/>
  <c r="AS40" i="6"/>
  <c r="AT40" i="6"/>
  <c r="AT38" i="6"/>
  <c r="AP38" i="6"/>
  <c r="AQ38" i="6"/>
  <c r="AR38" i="6"/>
  <c r="AS38" i="6"/>
  <c r="AP56" i="6"/>
  <c r="AQ56" i="6"/>
  <c r="AR56" i="6"/>
  <c r="AS56" i="6"/>
  <c r="AT56" i="6"/>
  <c r="AP23" i="6"/>
  <c r="AQ23" i="6"/>
  <c r="AR23" i="6"/>
  <c r="AS23" i="6"/>
  <c r="AT23" i="6"/>
  <c r="AS21" i="6"/>
  <c r="AT21" i="6"/>
  <c r="AP21" i="6"/>
  <c r="AQ21" i="6"/>
  <c r="AR21" i="6"/>
  <c r="AO63" i="6"/>
  <c r="AO73" i="6"/>
  <c r="AU73" i="6" s="1"/>
  <c r="AO24" i="6"/>
  <c r="AO101" i="6"/>
  <c r="AO76" i="6"/>
  <c r="AP80" i="6"/>
  <c r="AQ80" i="6"/>
  <c r="AR80" i="6"/>
  <c r="AS80" i="6"/>
  <c r="AT80" i="6"/>
  <c r="AP25" i="6"/>
  <c r="AQ25" i="6"/>
  <c r="AR25" i="6"/>
  <c r="AS25" i="6"/>
  <c r="AT25" i="6"/>
  <c r="AR84" i="6"/>
  <c r="AS84" i="6"/>
  <c r="AT84" i="6"/>
  <c r="AP84" i="6"/>
  <c r="AQ84" i="6"/>
  <c r="AT22" i="6"/>
  <c r="AP22" i="6"/>
  <c r="AQ22" i="6"/>
  <c r="AR22" i="6"/>
  <c r="AS22" i="6"/>
  <c r="AR36" i="6"/>
  <c r="AS36" i="6"/>
  <c r="AT36" i="6"/>
  <c r="AP36" i="6"/>
  <c r="AQ36" i="6"/>
  <c r="AP107" i="6"/>
  <c r="AQ107" i="6"/>
  <c r="AR107" i="6"/>
  <c r="AS107" i="6"/>
  <c r="AT107" i="6"/>
  <c r="AV85" i="6"/>
  <c r="AV31" i="6"/>
  <c r="AV49" i="6"/>
  <c r="AV70" i="6"/>
  <c r="AV40" i="6"/>
  <c r="AV38" i="6"/>
  <c r="AV56" i="6"/>
  <c r="AV21" i="6"/>
  <c r="AV18" i="6"/>
  <c r="AV20" i="6"/>
  <c r="AV22" i="6"/>
  <c r="AV100" i="6"/>
  <c r="AV60" i="6"/>
  <c r="AV92" i="6"/>
  <c r="AV102" i="6"/>
  <c r="AV80" i="6"/>
  <c r="AV42" i="6"/>
  <c r="AV19" i="6"/>
  <c r="AV23" i="6"/>
  <c r="AV17" i="6"/>
  <c r="AV93" i="6"/>
  <c r="AV94" i="6"/>
  <c r="AV28" i="6"/>
  <c r="AV84" i="6"/>
  <c r="AV105" i="6"/>
  <c r="AV107" i="6"/>
  <c r="AV82" i="6"/>
  <c r="AV36" i="6"/>
  <c r="AV72" i="6"/>
  <c r="AV61" i="6"/>
  <c r="AV90" i="6"/>
  <c r="AV86" i="6"/>
  <c r="AV104" i="6"/>
  <c r="AV25" i="6"/>
  <c r="AV51" i="6"/>
  <c r="AV16" i="6"/>
  <c r="AZ14" i="6"/>
  <c r="AZ13" i="6"/>
  <c r="AZ11" i="6"/>
  <c r="AZ12" i="6"/>
  <c r="BA3" i="6"/>
  <c r="BA1" i="6"/>
  <c r="E4" i="6" l="1"/>
  <c r="J23" i="3" s="1"/>
  <c r="I23" i="3"/>
  <c r="Q6" i="3" s="1"/>
  <c r="AV99" i="6"/>
  <c r="AU99" i="6"/>
  <c r="AV63" i="6"/>
  <c r="AU63" i="6"/>
  <c r="AV96" i="6"/>
  <c r="AU96" i="6"/>
  <c r="AV98" i="6"/>
  <c r="AU98" i="6"/>
  <c r="AV26" i="6"/>
  <c r="AU26" i="6"/>
  <c r="AV53" i="6"/>
  <c r="AU53" i="6"/>
  <c r="AV87" i="6"/>
  <c r="AU87" i="6"/>
  <c r="AV83" i="6"/>
  <c r="AU83" i="6"/>
  <c r="AV76" i="6"/>
  <c r="AU76" i="6"/>
  <c r="AV39" i="6"/>
  <c r="AU39" i="6"/>
  <c r="AV101" i="6"/>
  <c r="AU101" i="6"/>
  <c r="AV24" i="6"/>
  <c r="AU24" i="6"/>
  <c r="AV57" i="6"/>
  <c r="AU57" i="6"/>
  <c r="AV55" i="6"/>
  <c r="AU55" i="6"/>
  <c r="AQ75" i="6"/>
  <c r="AR75" i="6"/>
  <c r="AS75" i="6"/>
  <c r="AT75" i="6"/>
  <c r="AP75" i="6"/>
  <c r="AP71" i="6"/>
  <c r="AQ71" i="6"/>
  <c r="AR71" i="6"/>
  <c r="AS71" i="6"/>
  <c r="AT71" i="6"/>
  <c r="AP41" i="6"/>
  <c r="AQ41" i="6"/>
  <c r="AR41" i="6"/>
  <c r="AS41" i="6"/>
  <c r="AT41" i="6"/>
  <c r="AP50" i="6"/>
  <c r="AQ50" i="6"/>
  <c r="AR50" i="6"/>
  <c r="AS50" i="6"/>
  <c r="AT50" i="6"/>
  <c r="AP65" i="6"/>
  <c r="AQ65" i="6"/>
  <c r="AR65" i="6"/>
  <c r="AS65" i="6"/>
  <c r="AT65" i="6"/>
  <c r="AT30" i="6"/>
  <c r="AP30" i="6"/>
  <c r="AQ30" i="6"/>
  <c r="AR30" i="6"/>
  <c r="AS30" i="6"/>
  <c r="AT54" i="6"/>
  <c r="AP54" i="6"/>
  <c r="AQ54" i="6"/>
  <c r="AR54" i="6"/>
  <c r="AS54" i="6"/>
  <c r="AP24" i="6"/>
  <c r="AQ24" i="6"/>
  <c r="AR24" i="6"/>
  <c r="AS24" i="6"/>
  <c r="AT24" i="6"/>
  <c r="AP39" i="6"/>
  <c r="AQ39" i="6"/>
  <c r="AR39" i="6"/>
  <c r="AS39" i="6"/>
  <c r="AT39" i="6"/>
  <c r="AV75" i="6"/>
  <c r="AV71" i="6"/>
  <c r="AV41" i="6"/>
  <c r="AV50" i="6"/>
  <c r="AV65" i="6"/>
  <c r="AV30" i="6"/>
  <c r="AV54" i="6"/>
  <c r="AP74" i="6"/>
  <c r="AQ74" i="6"/>
  <c r="AR74" i="6"/>
  <c r="AS74" i="6"/>
  <c r="AT74" i="6"/>
  <c r="AP64" i="6"/>
  <c r="AQ64" i="6"/>
  <c r="AR64" i="6"/>
  <c r="AS64" i="6"/>
  <c r="AT64" i="6"/>
  <c r="AP97" i="6"/>
  <c r="AQ97" i="6"/>
  <c r="AR97" i="6"/>
  <c r="AS97" i="6"/>
  <c r="AT97" i="6"/>
  <c r="AP33" i="6"/>
  <c r="AQ33" i="6"/>
  <c r="AR33" i="6"/>
  <c r="AS33" i="6"/>
  <c r="AT33" i="6"/>
  <c r="AP32" i="6"/>
  <c r="AQ32" i="6"/>
  <c r="AR32" i="6"/>
  <c r="AS32" i="6"/>
  <c r="AT32" i="6"/>
  <c r="AP48" i="6"/>
  <c r="AQ48" i="6"/>
  <c r="AR48" i="6"/>
  <c r="AS48" i="6"/>
  <c r="AT48" i="6"/>
  <c r="AP73" i="6"/>
  <c r="AQ73" i="6"/>
  <c r="AR73" i="6"/>
  <c r="AS73" i="6"/>
  <c r="AT73" i="6"/>
  <c r="AV74" i="6"/>
  <c r="AV64" i="6"/>
  <c r="AV97" i="6"/>
  <c r="AV33" i="6"/>
  <c r="AV32" i="6"/>
  <c r="AV48" i="6"/>
  <c r="AV73" i="6"/>
  <c r="AS45" i="6"/>
  <c r="AT45" i="6"/>
  <c r="AP45" i="6"/>
  <c r="AQ45" i="6"/>
  <c r="AR45" i="6"/>
  <c r="AP89" i="6"/>
  <c r="AQ89" i="6"/>
  <c r="AR89" i="6"/>
  <c r="AS89" i="6"/>
  <c r="AT89" i="6"/>
  <c r="AQ67" i="6"/>
  <c r="AR67" i="6"/>
  <c r="AS67" i="6"/>
  <c r="AT67" i="6"/>
  <c r="AP67" i="6"/>
  <c r="AP81" i="6"/>
  <c r="AQ81" i="6"/>
  <c r="AR81" i="6"/>
  <c r="AS81" i="6"/>
  <c r="AT81" i="6"/>
  <c r="AT78" i="6"/>
  <c r="AP78" i="6"/>
  <c r="AQ78" i="6"/>
  <c r="AR78" i="6"/>
  <c r="AS78" i="6"/>
  <c r="AR76" i="6"/>
  <c r="AS76" i="6"/>
  <c r="AT76" i="6"/>
  <c r="AP76" i="6"/>
  <c r="AQ76" i="6"/>
  <c r="AP63" i="6"/>
  <c r="AQ63" i="6"/>
  <c r="AR63" i="6"/>
  <c r="AS63" i="6"/>
  <c r="AT63" i="6"/>
  <c r="AP57" i="6"/>
  <c r="AQ57" i="6"/>
  <c r="AR57" i="6"/>
  <c r="AS57" i="6"/>
  <c r="AT57" i="6"/>
  <c r="AS53" i="6"/>
  <c r="AT53" i="6"/>
  <c r="AP53" i="6"/>
  <c r="AQ53" i="6"/>
  <c r="AR53" i="6"/>
  <c r="AV45" i="6"/>
  <c r="AV89" i="6"/>
  <c r="AV67" i="6"/>
  <c r="AV81" i="6"/>
  <c r="AV78" i="6"/>
  <c r="AP96" i="6"/>
  <c r="AQ96" i="6"/>
  <c r="AR96" i="6"/>
  <c r="AS96" i="6"/>
  <c r="AT96" i="6"/>
  <c r="AP55" i="6"/>
  <c r="AQ55" i="6"/>
  <c r="AR55" i="6"/>
  <c r="AS55" i="6"/>
  <c r="AT55" i="6"/>
  <c r="AQ98" i="6"/>
  <c r="AR98" i="6"/>
  <c r="AS98" i="6"/>
  <c r="AT98" i="6"/>
  <c r="AP98" i="6"/>
  <c r="AP87" i="6"/>
  <c r="AQ87" i="6"/>
  <c r="AR87" i="6"/>
  <c r="AS87" i="6"/>
  <c r="AT87" i="6"/>
  <c r="AP26" i="6"/>
  <c r="AQ26" i="6"/>
  <c r="AR26" i="6"/>
  <c r="AS26" i="6"/>
  <c r="AT26" i="6"/>
  <c r="AP88" i="6"/>
  <c r="AQ88" i="6"/>
  <c r="AR88" i="6"/>
  <c r="AS88" i="6"/>
  <c r="AT88" i="6"/>
  <c r="AT101" i="6"/>
  <c r="AR101" i="6"/>
  <c r="AS101" i="6"/>
  <c r="AQ101" i="6"/>
  <c r="AP101" i="6"/>
  <c r="AR99" i="6"/>
  <c r="AS99" i="6"/>
  <c r="AT99" i="6"/>
  <c r="AP99" i="6"/>
  <c r="AQ99" i="6"/>
  <c r="AQ83" i="6"/>
  <c r="AR83" i="6"/>
  <c r="AS83" i="6"/>
  <c r="AT83" i="6"/>
  <c r="AP83" i="6"/>
  <c r="AV88" i="6"/>
  <c r="AZ15" i="6"/>
  <c r="BC15" i="6"/>
  <c r="BC11" i="6"/>
  <c r="BC14" i="6"/>
  <c r="BC13" i="6"/>
  <c r="BC12" i="6"/>
  <c r="AZ10" i="6"/>
  <c r="AZ9" i="6"/>
  <c r="AZ8" i="6"/>
  <c r="J25" i="3" l="1"/>
  <c r="S6" i="3" s="1"/>
  <c r="R6" i="3"/>
  <c r="AO12" i="6"/>
  <c r="AT12" i="6" s="1"/>
  <c r="AO13" i="6"/>
  <c r="AS13" i="6" s="1"/>
  <c r="AO14" i="6"/>
  <c r="AQ14" i="6" s="1"/>
  <c r="AO15" i="6"/>
  <c r="AO11" i="6"/>
  <c r="AU11" i="6" s="1"/>
  <c r="BC10" i="6"/>
  <c r="BC9" i="6"/>
  <c r="BC8" i="6"/>
  <c r="AO10" i="6" l="1"/>
  <c r="AR10" i="6" s="1"/>
  <c r="AO8" i="6"/>
  <c r="AQ8" i="6" s="1"/>
  <c r="AO9" i="6"/>
  <c r="AQ9" i="6" s="1"/>
  <c r="AU13" i="6"/>
  <c r="AU12" i="6"/>
  <c r="AU14" i="6"/>
  <c r="AR13" i="6"/>
  <c r="AS14" i="6"/>
  <c r="AQ12" i="6"/>
  <c r="AV12" i="6"/>
  <c r="AR14" i="6"/>
  <c r="AP12" i="6"/>
  <c r="AS15" i="6"/>
  <c r="AV15" i="6"/>
  <c r="AT15" i="6"/>
  <c r="AR15" i="6"/>
  <c r="AP15" i="6"/>
  <c r="AQ15" i="6"/>
  <c r="AP14" i="6"/>
  <c r="AQ13" i="6"/>
  <c r="AT14" i="6"/>
  <c r="AV13" i="6"/>
  <c r="AP13" i="6"/>
  <c r="AS12" i="6"/>
  <c r="AV14" i="6"/>
  <c r="AT13" i="6"/>
  <c r="AR12" i="6"/>
  <c r="AQ11" i="6"/>
  <c r="AR11" i="6"/>
  <c r="AS11" i="6"/>
  <c r="AT11" i="6"/>
  <c r="AP11" i="6"/>
  <c r="AV11" i="6"/>
  <c r="AU15" i="6"/>
  <c r="A3" i="15"/>
  <c r="AU8" i="6" l="1"/>
  <c r="AU10" i="6"/>
  <c r="AV10" i="6"/>
  <c r="AS10" i="6"/>
  <c r="AQ10" i="6"/>
  <c r="AP10" i="6"/>
  <c r="AT10" i="6"/>
  <c r="AV8" i="6"/>
  <c r="AS8" i="6"/>
  <c r="AR8" i="6"/>
  <c r="AT8" i="6"/>
  <c r="AP8" i="6"/>
  <c r="AV9" i="6"/>
  <c r="AR9" i="6"/>
  <c r="AP9" i="6"/>
  <c r="AT9" i="6"/>
  <c r="AS9" i="6"/>
  <c r="AU9"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<sst xmlns="http://schemas.openxmlformats.org/spreadsheetml/2006/main" count="2711" uniqueCount="1857">
  <si>
    <t>日程</t>
    <rPh sb="0" eb="2">
      <t>ニッテイ</t>
    </rPh>
    <phoneticPr fontId="4"/>
  </si>
  <si>
    <t>チルドレン</t>
  </si>
  <si>
    <t>チルドレン</t>
    <phoneticPr fontId="4"/>
  </si>
  <si>
    <t>ジュニア</t>
    <phoneticPr fontId="4"/>
  </si>
  <si>
    <t>大学生</t>
    <rPh sb="0" eb="3">
      <t>ダイガクセイ</t>
    </rPh>
    <phoneticPr fontId="4"/>
  </si>
  <si>
    <t>一般</t>
    <rPh sb="0" eb="2">
      <t>イッパン</t>
    </rPh>
    <phoneticPr fontId="4"/>
  </si>
  <si>
    <t>社馬連</t>
    <rPh sb="0" eb="3">
      <t>シャバレン</t>
    </rPh>
    <phoneticPr fontId="4"/>
  </si>
  <si>
    <t>公認</t>
    <rPh sb="0" eb="2">
      <t>コウニン</t>
    </rPh>
    <phoneticPr fontId="4"/>
  </si>
  <si>
    <t>-</t>
  </si>
  <si>
    <t>オープン</t>
    <phoneticPr fontId="4"/>
  </si>
  <si>
    <t>自由選択課目</t>
  </si>
  <si>
    <t>Y</t>
  </si>
  <si>
    <t>N</t>
  </si>
  <si>
    <t>部班馬場馬術競技 (速歩)</t>
  </si>
  <si>
    <t>オー
プン</t>
    <phoneticPr fontId="4"/>
  </si>
  <si>
    <t>競技名</t>
    <rPh sb="0" eb="2">
      <t>キョウギ</t>
    </rPh>
    <rPh sb="2" eb="3">
      <t>メイ</t>
    </rPh>
    <phoneticPr fontId="4"/>
  </si>
  <si>
    <t>競技
番号</t>
    <rPh sb="0" eb="2">
      <t>キョウギ</t>
    </rPh>
    <rPh sb="3" eb="5">
      <t>バンゴウ</t>
    </rPh>
    <phoneticPr fontId="4"/>
  </si>
  <si>
    <t>備考</t>
    <rPh sb="0" eb="2">
      <t>ビコウ</t>
    </rPh>
    <phoneticPr fontId="4"/>
  </si>
  <si>
    <t>団体名</t>
    <rPh sb="0" eb="2">
      <t>ダンタイ</t>
    </rPh>
    <rPh sb="2" eb="3">
      <t>メイ</t>
    </rPh>
    <phoneticPr fontId="4"/>
  </si>
  <si>
    <t>団体住所</t>
    <rPh sb="0" eb="2">
      <t>ダンタイ</t>
    </rPh>
    <rPh sb="2" eb="4">
      <t>ジュウショ</t>
    </rPh>
    <phoneticPr fontId="4"/>
  </si>
  <si>
    <t>電話番号</t>
    <rPh sb="0" eb="2">
      <t>デンワ</t>
    </rPh>
    <rPh sb="2" eb="4">
      <t>バンゴウ</t>
    </rPh>
    <phoneticPr fontId="4"/>
  </si>
  <si>
    <t>責任者</t>
    <rPh sb="0" eb="3">
      <t>セキニンシャ</t>
    </rPh>
    <phoneticPr fontId="4"/>
  </si>
  <si>
    <t>当日連絡担当者</t>
    <rPh sb="0" eb="2">
      <t>トウジツ</t>
    </rPh>
    <rPh sb="2" eb="4">
      <t>レンラク</t>
    </rPh>
    <rPh sb="4" eb="6">
      <t>タントウ</t>
    </rPh>
    <rPh sb="6" eb="7">
      <t>シャ</t>
    </rPh>
    <phoneticPr fontId="4"/>
  </si>
  <si>
    <t>追加団体名</t>
    <rPh sb="0" eb="2">
      <t>ツイカ</t>
    </rPh>
    <rPh sb="2" eb="4">
      <t>ダンタイ</t>
    </rPh>
    <rPh sb="4" eb="5">
      <t>メイ</t>
    </rPh>
    <phoneticPr fontId="4"/>
  </si>
  <si>
    <t>番号</t>
    <rPh sb="0" eb="2">
      <t>バンゴウ</t>
    </rPh>
    <phoneticPr fontId="4"/>
  </si>
  <si>
    <t>姓</t>
    <rPh sb="0" eb="1">
      <t>セイ</t>
    </rPh>
    <phoneticPr fontId="4"/>
  </si>
  <si>
    <t>名</t>
    <rPh sb="0" eb="1">
      <t>メイ</t>
    </rPh>
    <phoneticPr fontId="4"/>
  </si>
  <si>
    <t>セイ</t>
    <phoneticPr fontId="4"/>
  </si>
  <si>
    <t>メイ</t>
    <phoneticPr fontId="4"/>
  </si>
  <si>
    <t>団体</t>
    <rPh sb="0" eb="2">
      <t>ダンタイ</t>
    </rPh>
    <phoneticPr fontId="4"/>
  </si>
  <si>
    <t>社馬連団体</t>
    <rPh sb="0" eb="3">
      <t>シャバレン</t>
    </rPh>
    <rPh sb="3" eb="5">
      <t>ダンタイ</t>
    </rPh>
    <phoneticPr fontId="4"/>
  </si>
  <si>
    <t>選手名</t>
    <rPh sb="0" eb="3">
      <t>センシュメイ</t>
    </rPh>
    <phoneticPr fontId="4"/>
  </si>
  <si>
    <t>フリガナ</t>
  </si>
  <si>
    <t>フリガナ</t>
    <phoneticPr fontId="4"/>
  </si>
  <si>
    <t>馬名</t>
    <rPh sb="0" eb="2">
      <t>バメイ</t>
    </rPh>
    <phoneticPr fontId="4"/>
  </si>
  <si>
    <t>馬匹名</t>
    <rPh sb="0" eb="2">
      <t>バヒツ</t>
    </rPh>
    <rPh sb="2" eb="3">
      <t>メイ</t>
    </rPh>
    <phoneticPr fontId="4"/>
  </si>
  <si>
    <t>料金</t>
    <rPh sb="0" eb="2">
      <t>リョウキン</t>
    </rPh>
    <phoneticPr fontId="4"/>
  </si>
  <si>
    <t>〒</t>
    <phoneticPr fontId="4"/>
  </si>
  <si>
    <t>担当者氏名</t>
    <rPh sb="3" eb="4">
      <t>シ</t>
    </rPh>
    <rPh sb="4" eb="5">
      <t>メイ</t>
    </rPh>
    <phoneticPr fontId="3"/>
  </si>
  <si>
    <t>携帯電話番号</t>
    <rPh sb="0" eb="2">
      <t>ケイタイ</t>
    </rPh>
    <rPh sb="2" eb="4">
      <t>デンワ</t>
    </rPh>
    <rPh sb="4" eb="6">
      <t>バンゴウ</t>
    </rPh>
    <phoneticPr fontId="3"/>
  </si>
  <si>
    <t>メールアドレス
(複数可)</t>
    <rPh sb="9" eb="11">
      <t>フクスウ</t>
    </rPh>
    <rPh sb="11" eb="12">
      <t>カ</t>
    </rPh>
    <phoneticPr fontId="4"/>
  </si>
  <si>
    <t>出場料</t>
    <rPh sb="0" eb="2">
      <t>シュツジョウ</t>
    </rPh>
    <rPh sb="2" eb="3">
      <t>リョウ</t>
    </rPh>
    <phoneticPr fontId="4"/>
  </si>
  <si>
    <t>総額</t>
    <rPh sb="0" eb="2">
      <t>ソウガク</t>
    </rPh>
    <phoneticPr fontId="4"/>
  </si>
  <si>
    <t>(出場数)</t>
    <rPh sb="1" eb="3">
      <t>シュツジョウ</t>
    </rPh>
    <rPh sb="3" eb="4">
      <t>スウ</t>
    </rPh>
    <phoneticPr fontId="4"/>
  </si>
  <si>
    <t>選手
番号</t>
    <rPh sb="0" eb="2">
      <t>センシュ</t>
    </rPh>
    <rPh sb="3" eb="5">
      <t>バンゴウ</t>
    </rPh>
    <phoneticPr fontId="4"/>
  </si>
  <si>
    <t>馬匹
番号</t>
    <rPh sb="0" eb="2">
      <t>バヒツ</t>
    </rPh>
    <rPh sb="3" eb="5">
      <t>バンゴウ</t>
    </rPh>
    <phoneticPr fontId="4"/>
  </si>
  <si>
    <r>
      <t xml:space="preserve">日馬連登録番号
</t>
    </r>
    <r>
      <rPr>
        <sz val="9"/>
        <color theme="1"/>
        <rFont val="游ゴシック"/>
        <family val="3"/>
        <charset val="128"/>
        <scheme val="minor"/>
      </rPr>
      <t>(公認競技用)</t>
    </r>
    <rPh sb="0" eb="3">
      <t>ニチバレン</t>
    </rPh>
    <rPh sb="3" eb="5">
      <t>トウロク</t>
    </rPh>
    <rPh sb="5" eb="7">
      <t>バンゴウ</t>
    </rPh>
    <rPh sb="9" eb="11">
      <t>コウニン</t>
    </rPh>
    <rPh sb="11" eb="14">
      <t>キョウギヨウ</t>
    </rPh>
    <phoneticPr fontId="4"/>
  </si>
  <si>
    <t>社馬連加盟団体</t>
    <rPh sb="0" eb="3">
      <t>シャバレン</t>
    </rPh>
    <rPh sb="3" eb="5">
      <t>カメイ</t>
    </rPh>
    <rPh sb="5" eb="7">
      <t>ダンタイ</t>
    </rPh>
    <phoneticPr fontId="4"/>
  </si>
  <si>
    <t>プロ・インストラクタ</t>
    <phoneticPr fontId="4"/>
  </si>
  <si>
    <t>ジュニア(高校生以下)</t>
    <rPh sb="5" eb="8">
      <t>コウコウセイ</t>
    </rPh>
    <rPh sb="8" eb="10">
      <t>イカ</t>
    </rPh>
    <phoneticPr fontId="4"/>
  </si>
  <si>
    <t>チルドレン(中学生以下)</t>
    <rPh sb="6" eb="9">
      <t>チュウガクセイ</t>
    </rPh>
    <rPh sb="9" eb="11">
      <t>イカ</t>
    </rPh>
    <phoneticPr fontId="4"/>
  </si>
  <si>
    <t>選手区分</t>
    <rPh sb="0" eb="2">
      <t>センシュ</t>
    </rPh>
    <rPh sb="2" eb="4">
      <t>クブン</t>
    </rPh>
    <phoneticPr fontId="4"/>
  </si>
  <si>
    <t>エントリ区分</t>
    <rPh sb="4" eb="6">
      <t>クブン</t>
    </rPh>
    <phoneticPr fontId="4"/>
  </si>
  <si>
    <t>利用日</t>
    <rPh sb="0" eb="2">
      <t>リヨウ</t>
    </rPh>
    <rPh sb="2" eb="3">
      <t>ビ</t>
    </rPh>
    <phoneticPr fontId="4"/>
  </si>
  <si>
    <t>年齢</t>
    <rPh sb="0" eb="2">
      <t>ネンレイ</t>
    </rPh>
    <phoneticPr fontId="4"/>
  </si>
  <si>
    <t>性別</t>
    <rPh sb="0" eb="2">
      <t>セイベツ</t>
    </rPh>
    <phoneticPr fontId="4"/>
  </si>
  <si>
    <t>氏名</t>
    <rPh sb="0" eb="2">
      <t>シメイ</t>
    </rPh>
    <phoneticPr fontId="4"/>
  </si>
  <si>
    <t>携帯番号</t>
    <rPh sb="0" eb="2">
      <t>ケイタイ</t>
    </rPh>
    <rPh sb="2" eb="4">
      <t>バンゴウ</t>
    </rPh>
    <phoneticPr fontId="4"/>
  </si>
  <si>
    <t>宿泊者</t>
    <rPh sb="0" eb="3">
      <t>シュクハクシャ</t>
    </rPh>
    <phoneticPr fontId="4"/>
  </si>
  <si>
    <t xml:space="preserve">   月     日</t>
    <rPh sb="3" eb="4">
      <t>ガツ</t>
    </rPh>
    <rPh sb="9" eb="10">
      <t>ニチ</t>
    </rPh>
    <phoneticPr fontId="4"/>
  </si>
  <si>
    <t xml:space="preserve">  月     日</t>
    <rPh sb="2" eb="3">
      <t>ガツ</t>
    </rPh>
    <rPh sb="8" eb="9">
      <t>ニチ</t>
    </rPh>
    <phoneticPr fontId="4"/>
  </si>
  <si>
    <t>宿泊者数</t>
    <rPh sb="0" eb="3">
      <t>シュクハクシャ</t>
    </rPh>
    <rPh sb="3" eb="4">
      <t>スウ</t>
    </rPh>
    <phoneticPr fontId="4"/>
  </si>
  <si>
    <t>宿泊数</t>
    <rPh sb="0" eb="2">
      <t>シュクハク</t>
    </rPh>
    <rPh sb="2" eb="3">
      <t>スウ</t>
    </rPh>
    <phoneticPr fontId="4"/>
  </si>
  <si>
    <t>(競技エントリー)</t>
    <phoneticPr fontId="4"/>
  </si>
  <si>
    <t>ホースマネージャー棟 宿泊申し込み</t>
    <phoneticPr fontId="4"/>
  </si>
  <si>
    <t>(1) 競技場内の宿泊施設ですので、各自の責任においてご利用ください。</t>
  </si>
  <si>
    <t>(2) 寝具は各自でご用意してください。</t>
  </si>
  <si>
    <t>(6) 室内は火気厳禁とします。煙草は喫煙所にてお願い致します。</t>
  </si>
  <si>
    <t>(7) 退室の際は清掃をし、窓の戸締り、電気消灯をお願い致します。</t>
  </si>
  <si>
    <t>注意事項</t>
    <rPh sb="0" eb="2">
      <t>チュウイ</t>
    </rPh>
    <rPh sb="2" eb="4">
      <t>ジコウ</t>
    </rPh>
    <phoneticPr fontId="4"/>
  </si>
  <si>
    <t>１．締　切</t>
  </si>
  <si>
    <t xml:space="preserve">２．宿泊料 </t>
  </si>
  <si>
    <t>当日、大会本部にて支払うこと(鍵をお渡し致します)。</t>
    <rPh sb="3" eb="5">
      <t>タイカイ</t>
    </rPh>
    <phoneticPr fontId="4"/>
  </si>
  <si>
    <t>(8) 退室後、カギを大会本部へ返却すること。</t>
    <rPh sb="4" eb="6">
      <t>タイシツ</t>
    </rPh>
    <rPh sb="6" eb="7">
      <t>ゴ</t>
    </rPh>
    <rPh sb="11" eb="13">
      <t>タイカイ</t>
    </rPh>
    <rPh sb="13" eb="15">
      <t>ホンブ</t>
    </rPh>
    <rPh sb="16" eb="18">
      <t>ヘンキャク</t>
    </rPh>
    <phoneticPr fontId="4"/>
  </si>
  <si>
    <t>警視庁乗馬同好会</t>
  </si>
  <si>
    <t>皇宮警察本部</t>
  </si>
  <si>
    <t>社会人昭和大学ライディングチーム</t>
  </si>
  <si>
    <t>衆議院乗馬会</t>
  </si>
  <si>
    <t>SOMPOホールディングス馬術部</t>
  </si>
  <si>
    <t>日本アイ・ビー・エム(株)馬術部</t>
  </si>
  <si>
    <t>(株)日本馬事普及馬事研究部</t>
  </si>
  <si>
    <t>富士通(株)馬術部</t>
  </si>
  <si>
    <t>防衛省乗馬同好会</t>
  </si>
  <si>
    <t>三井物産(株)乗馬部</t>
  </si>
  <si>
    <t>レッキス工業(株)馬術部</t>
  </si>
  <si>
    <t>エグゼクティブコーチ(株)馬術部</t>
  </si>
  <si>
    <t>NTT馬術部</t>
  </si>
  <si>
    <t>グーグル合同会社馬術部</t>
  </si>
  <si>
    <t>ソニー馬術部</t>
  </si>
  <si>
    <t>税理士法人山田＆パートナーズ乗馬同好会</t>
  </si>
  <si>
    <t>団体区分</t>
    <rPh sb="0" eb="2">
      <t>ダンタイ</t>
    </rPh>
    <rPh sb="2" eb="4">
      <t>クブン</t>
    </rPh>
    <phoneticPr fontId="4"/>
  </si>
  <si>
    <t>団体番号</t>
    <rPh sb="0" eb="2">
      <t>ダンタイ</t>
    </rPh>
    <rPh sb="2" eb="4">
      <t>バンゴウ</t>
    </rPh>
    <phoneticPr fontId="4"/>
  </si>
  <si>
    <t>学生</t>
    <rPh sb="0" eb="2">
      <t>ガクセイ</t>
    </rPh>
    <phoneticPr fontId="4"/>
  </si>
  <si>
    <r>
      <t xml:space="preserve">エントリー料
</t>
    </r>
    <r>
      <rPr>
        <sz val="8"/>
        <color theme="1"/>
        <rFont val="游ゴシック"/>
        <family val="3"/>
        <charset val="128"/>
        <scheme val="minor"/>
      </rPr>
      <t>(学生：大学生、高校生、中学生以下)</t>
    </r>
    <rPh sb="5" eb="6">
      <t>リョウ</t>
    </rPh>
    <rPh sb="8" eb="10">
      <t>ガクセイ</t>
    </rPh>
    <rPh sb="11" eb="14">
      <t>ダイガクセイ</t>
    </rPh>
    <rPh sb="15" eb="18">
      <t>コウコウセイ</t>
    </rPh>
    <rPh sb="19" eb="22">
      <t>チュウガクセイ</t>
    </rPh>
    <rPh sb="22" eb="24">
      <t>イカ</t>
    </rPh>
    <phoneticPr fontId="4"/>
  </si>
  <si>
    <t>中学生以下</t>
    <rPh sb="0" eb="5">
      <t>チュウガクセイイカ</t>
    </rPh>
    <phoneticPr fontId="4"/>
  </si>
  <si>
    <t>料金区分</t>
    <rPh sb="0" eb="2">
      <t>リョウキン</t>
    </rPh>
    <rPh sb="2" eb="4">
      <t>クブン</t>
    </rPh>
    <phoneticPr fontId="4"/>
  </si>
  <si>
    <t>学生</t>
    <rPh sb="0" eb="2">
      <t>ガクセイ</t>
    </rPh>
    <phoneticPr fontId="4"/>
  </si>
  <si>
    <t>オープン</t>
    <phoneticPr fontId="4"/>
  </si>
  <si>
    <t>提出日：</t>
    <rPh sb="0" eb="2">
      <t>テイシュツ</t>
    </rPh>
    <rPh sb="2" eb="3">
      <t>ビ</t>
    </rPh>
    <phoneticPr fontId="4"/>
  </si>
  <si>
    <t>100cm、社馬連会員のみ</t>
    <rPh sb="6" eb="11">
      <t>シャバレンカイイン</t>
    </rPh>
    <phoneticPr fontId="4"/>
  </si>
  <si>
    <t>団体名</t>
    <rPh sb="0" eb="2">
      <t>ダンタイ</t>
    </rPh>
    <rPh sb="2" eb="3">
      <t>メイ</t>
    </rPh>
    <phoneticPr fontId="4"/>
  </si>
  <si>
    <t>フリガナ</t>
    <phoneticPr fontId="4"/>
  </si>
  <si>
    <t>追加1</t>
    <rPh sb="0" eb="2">
      <t>ツイカ</t>
    </rPh>
    <phoneticPr fontId="4"/>
  </si>
  <si>
    <t>追加2</t>
    <rPh sb="0" eb="2">
      <t>ツイカ</t>
    </rPh>
    <phoneticPr fontId="4"/>
  </si>
  <si>
    <t>追加3</t>
    <rPh sb="0" eb="2">
      <t>ツイカ</t>
    </rPh>
    <phoneticPr fontId="4"/>
  </si>
  <si>
    <t>提出日</t>
    <rPh sb="0" eb="2">
      <t>テイシュツ</t>
    </rPh>
    <rPh sb="2" eb="3">
      <t>ビ</t>
    </rPh>
    <phoneticPr fontId="4"/>
  </si>
  <si>
    <t>郵便</t>
    <rPh sb="0" eb="2">
      <t>ユウビン</t>
    </rPh>
    <phoneticPr fontId="4"/>
  </si>
  <si>
    <t>住所1</t>
    <rPh sb="0" eb="2">
      <t>ジュウショ</t>
    </rPh>
    <phoneticPr fontId="4"/>
  </si>
  <si>
    <t>住所2</t>
    <rPh sb="0" eb="2">
      <t>ジュウショ</t>
    </rPh>
    <phoneticPr fontId="4"/>
  </si>
  <si>
    <t>電話</t>
    <rPh sb="0" eb="2">
      <t>デンワ</t>
    </rPh>
    <phoneticPr fontId="4"/>
  </si>
  <si>
    <t>責任者</t>
    <rPh sb="0" eb="3">
      <t>セキニンシャ</t>
    </rPh>
    <phoneticPr fontId="4"/>
  </si>
  <si>
    <t>メール1</t>
    <phoneticPr fontId="4"/>
  </si>
  <si>
    <t>メール2</t>
    <phoneticPr fontId="4"/>
  </si>
  <si>
    <t>メール3</t>
    <phoneticPr fontId="4"/>
  </si>
  <si>
    <t>当日1</t>
    <rPh sb="0" eb="2">
      <t>トウジツ</t>
    </rPh>
    <phoneticPr fontId="4"/>
  </si>
  <si>
    <t>当日2</t>
    <rPh sb="0" eb="2">
      <t>トウジツ</t>
    </rPh>
    <phoneticPr fontId="4"/>
  </si>
  <si>
    <t>当日3</t>
    <rPh sb="0" eb="2">
      <t>トウジツ</t>
    </rPh>
    <phoneticPr fontId="4"/>
  </si>
  <si>
    <t>番号</t>
    <rPh sb="0" eb="2">
      <t>バンゴウ</t>
    </rPh>
    <phoneticPr fontId="4"/>
  </si>
  <si>
    <t>区分</t>
    <rPh sb="0" eb="2">
      <t>クブン</t>
    </rPh>
    <phoneticPr fontId="4"/>
  </si>
  <si>
    <t>日馬連</t>
    <rPh sb="0" eb="3">
      <t>ニチバレン</t>
    </rPh>
    <phoneticPr fontId="4"/>
  </si>
  <si>
    <t>選手区分</t>
    <rPh sb="0" eb="2">
      <t>センシュ</t>
    </rPh>
    <rPh sb="2" eb="4">
      <t>クブン</t>
    </rPh>
    <phoneticPr fontId="4"/>
  </si>
  <si>
    <t>集計用</t>
    <rPh sb="0" eb="3">
      <t>シュウケイヨウ</t>
    </rPh>
    <phoneticPr fontId="4"/>
  </si>
  <si>
    <t>馬名</t>
    <rPh sb="0" eb="2">
      <t>バメイ</t>
    </rPh>
    <phoneticPr fontId="4"/>
  </si>
  <si>
    <t>カナ</t>
    <phoneticPr fontId="4"/>
  </si>
  <si>
    <t>種目</t>
    <rPh sb="0" eb="2">
      <t>シュモク</t>
    </rPh>
    <phoneticPr fontId="4"/>
  </si>
  <si>
    <t>選手</t>
    <rPh sb="0" eb="2">
      <t>センシュ</t>
    </rPh>
    <phoneticPr fontId="4"/>
  </si>
  <si>
    <t>馬</t>
    <rPh sb="0" eb="1">
      <t>ウマ</t>
    </rPh>
    <phoneticPr fontId="4"/>
  </si>
  <si>
    <t>料金</t>
    <rPh sb="0" eb="2">
      <t>リョウキン</t>
    </rPh>
    <phoneticPr fontId="4"/>
  </si>
  <si>
    <t>御殿場市馬術・スポーツセンター入厩届出書</t>
  </si>
  <si>
    <t>毛色</t>
    <rPh sb="0" eb="2">
      <t>ケイロ</t>
    </rPh>
    <phoneticPr fontId="4"/>
  </si>
  <si>
    <t>種類</t>
    <rPh sb="0" eb="2">
      <t>シュルイ</t>
    </rPh>
    <phoneticPr fontId="4"/>
  </si>
  <si>
    <t>産地</t>
    <rPh sb="0" eb="2">
      <t>サンチ</t>
    </rPh>
    <phoneticPr fontId="4"/>
  </si>
  <si>
    <t>最終伝貧
検査日</t>
    <rPh sb="0" eb="2">
      <t>サイシュウ</t>
    </rPh>
    <rPh sb="2" eb="3">
      <t>デン</t>
    </rPh>
    <rPh sb="3" eb="4">
      <t>ピン</t>
    </rPh>
    <rPh sb="5" eb="8">
      <t>ケンサビ</t>
    </rPh>
    <phoneticPr fontId="4"/>
  </si>
  <si>
    <t>日本脳炎予防
ワクチン接種日</t>
    <rPh sb="0" eb="2">
      <t>ニホン</t>
    </rPh>
    <rPh sb="2" eb="4">
      <t>ノウエン</t>
    </rPh>
    <rPh sb="4" eb="6">
      <t>ヨボウ</t>
    </rPh>
    <rPh sb="11" eb="13">
      <t>セッシュ</t>
    </rPh>
    <rPh sb="13" eb="14">
      <t>ビ</t>
    </rPh>
    <phoneticPr fontId="4"/>
  </si>
  <si>
    <t>基礎・補強終了後のすべてのインフルエンザ予防接種暦</t>
    <phoneticPr fontId="4"/>
  </si>
  <si>
    <t>入厩日</t>
    <rPh sb="0" eb="3">
      <t>ニュウキュウビ</t>
    </rPh>
    <phoneticPr fontId="4"/>
  </si>
  <si>
    <t>AM・PM</t>
    <phoneticPr fontId="4"/>
  </si>
  <si>
    <t>時</t>
    <rPh sb="0" eb="1">
      <t>ジ</t>
    </rPh>
    <phoneticPr fontId="4"/>
  </si>
  <si>
    <t>退厩日</t>
    <rPh sb="0" eb="2">
      <t>タイキュウ</t>
    </rPh>
    <rPh sb="2" eb="3">
      <t>ヒ</t>
    </rPh>
    <phoneticPr fontId="4"/>
  </si>
  <si>
    <t>御殿場市馬術・スポーツセンター利用につき、上記のとおりお届けします。</t>
  </si>
  <si>
    <t>住所</t>
    <rPh sb="0" eb="2">
      <t>ジュウショ</t>
    </rPh>
    <phoneticPr fontId="4"/>
  </si>
  <si>
    <t>TEL</t>
    <phoneticPr fontId="4"/>
  </si>
  <si>
    <t>FAX</t>
    <phoneticPr fontId="4"/>
  </si>
  <si>
    <t>印</t>
    <rPh sb="0" eb="1">
      <t>イン</t>
    </rPh>
    <phoneticPr fontId="4"/>
  </si>
  <si>
    <t>日</t>
    <rPh sb="0" eb="1">
      <t>ニチ</t>
    </rPh>
    <phoneticPr fontId="4"/>
  </si>
  <si>
    <t>社馬連</t>
    <rPh sb="0" eb="3">
      <t>シャバレン</t>
    </rPh>
    <phoneticPr fontId="4"/>
  </si>
  <si>
    <t>Key</t>
    <phoneticPr fontId="4"/>
  </si>
  <si>
    <t>重複</t>
    <rPh sb="0" eb="2">
      <t>チョウフク</t>
    </rPh>
    <phoneticPr fontId="4"/>
  </si>
  <si>
    <t>確認メッセージ</t>
    <rPh sb="0" eb="2">
      <t>カクニン</t>
    </rPh>
    <phoneticPr fontId="4"/>
  </si>
  <si>
    <t xml:space="preserve"> </t>
    <phoneticPr fontId="4"/>
  </si>
  <si>
    <t>提出日：</t>
    <rPh sb="0" eb="2">
      <t>テイシュツ</t>
    </rPh>
    <rPh sb="2" eb="3">
      <t>ビ</t>
    </rPh>
    <phoneticPr fontId="4"/>
  </si>
  <si>
    <t>種目
番号</t>
    <rPh sb="0" eb="2">
      <t>シュモク</t>
    </rPh>
    <rPh sb="3" eb="5">
      <t>バンゴウ</t>
    </rPh>
    <phoneticPr fontId="4"/>
  </si>
  <si>
    <t>競技名</t>
    <rPh sb="0" eb="2">
      <t>キョウギ</t>
    </rPh>
    <rPh sb="2" eb="3">
      <t>メイ</t>
    </rPh>
    <phoneticPr fontId="4"/>
  </si>
  <si>
    <t>A</t>
  </si>
  <si>
    <t>B</t>
  </si>
  <si>
    <t>公
認</t>
    <rPh sb="0" eb="1">
      <t>コウ</t>
    </rPh>
    <rPh sb="2" eb="3">
      <t>ニン</t>
    </rPh>
    <phoneticPr fontId="4"/>
  </si>
  <si>
    <t>O
p</t>
    <phoneticPr fontId="4"/>
  </si>
  <si>
    <t>小障害100cmクラス</t>
  </si>
  <si>
    <t>中障害D 110cmクラス</t>
  </si>
  <si>
    <t>馬匹追加</t>
  </si>
  <si>
    <t>選手追加</t>
  </si>
  <si>
    <t>変更料</t>
    <rPh sb="0" eb="2">
      <t>ヘンコウ</t>
    </rPh>
    <rPh sb="2" eb="3">
      <t>リョウ</t>
    </rPh>
    <phoneticPr fontId="4"/>
  </si>
  <si>
    <t>-</t>
    <phoneticPr fontId="4"/>
  </si>
  <si>
    <t>エントリ
区分</t>
    <rPh sb="5" eb="7">
      <t>クブン</t>
    </rPh>
    <phoneticPr fontId="4"/>
  </si>
  <si>
    <t>馬匹削除</t>
  </si>
  <si>
    <t>変更項目</t>
    <rPh sb="0" eb="2">
      <t>ヘンコウ</t>
    </rPh>
    <rPh sb="2" eb="4">
      <t>コウモク</t>
    </rPh>
    <phoneticPr fontId="4"/>
  </si>
  <si>
    <t>エントリ
削除</t>
    <phoneticPr fontId="4"/>
  </si>
  <si>
    <t>エントリ
変更</t>
    <phoneticPr fontId="4"/>
  </si>
  <si>
    <t>エントリ
追加</t>
    <phoneticPr fontId="4"/>
  </si>
  <si>
    <t>エントリ変更項目</t>
    <rPh sb="4" eb="6">
      <t>ヘンコウ</t>
    </rPh>
    <rPh sb="6" eb="8">
      <t>コウモク</t>
    </rPh>
    <phoneticPr fontId="4"/>
  </si>
  <si>
    <t>※3 エントリー締め切り後の変更で、エントリー総額を下回った場合でも、エントリー総額の減額・返金は行いません。</t>
    <rPh sb="8" eb="9">
      <t>シ</t>
    </rPh>
    <rPh sb="10" eb="11">
      <t>キ</t>
    </rPh>
    <rPh sb="12" eb="13">
      <t>ゴ</t>
    </rPh>
    <rPh sb="14" eb="16">
      <t>ヘンコウ</t>
    </rPh>
    <rPh sb="23" eb="25">
      <t>ソウガク</t>
    </rPh>
    <rPh sb="26" eb="28">
      <t>シタマワ</t>
    </rPh>
    <rPh sb="30" eb="32">
      <t>バアイ</t>
    </rPh>
    <rPh sb="40" eb="42">
      <t>ソウガク</t>
    </rPh>
    <rPh sb="43" eb="45">
      <t>ゲンガク</t>
    </rPh>
    <rPh sb="46" eb="48">
      <t>ヘンキン</t>
    </rPh>
    <rPh sb="49" eb="50">
      <t>オコナ</t>
    </rPh>
    <phoneticPr fontId="4"/>
  </si>
  <si>
    <t>※4 エントリー締め切り後の変更で、エントリー総額を上回った場合、差額の入金確認をもって、エントリー変更確定とします。</t>
    <rPh sb="26" eb="28">
      <t>ウワマワ</t>
    </rPh>
    <rPh sb="30" eb="32">
      <t>バアイ</t>
    </rPh>
    <rPh sb="33" eb="35">
      <t>サガク</t>
    </rPh>
    <rPh sb="36" eb="38">
      <t>ニュウキン</t>
    </rPh>
    <rPh sb="38" eb="40">
      <t>カクニン</t>
    </rPh>
    <rPh sb="50" eb="52">
      <t>ヘンコウ</t>
    </rPh>
    <rPh sb="52" eb="54">
      <t>カクテイ</t>
    </rPh>
    <phoneticPr fontId="4"/>
  </si>
  <si>
    <t>項目</t>
    <rPh sb="0" eb="2">
      <t>コウモク</t>
    </rPh>
    <phoneticPr fontId="4"/>
  </si>
  <si>
    <t>エン
トリ
番号</t>
    <rPh sb="6" eb="8">
      <t>バンゴウ</t>
    </rPh>
    <phoneticPr fontId="4"/>
  </si>
  <si>
    <t>※1 エントリー締め切り時点で社馬連が受領済みのエントリーをもって、締め切り時点のエントリー・エントリー総額とします。</t>
    <rPh sb="8" eb="9">
      <t>シ</t>
    </rPh>
    <rPh sb="10" eb="11">
      <t>キ</t>
    </rPh>
    <rPh sb="12" eb="14">
      <t>ジテン</t>
    </rPh>
    <rPh sb="15" eb="18">
      <t>シャバレン</t>
    </rPh>
    <rPh sb="19" eb="21">
      <t>ジュリョウ</t>
    </rPh>
    <rPh sb="21" eb="22">
      <t>ズ</t>
    </rPh>
    <rPh sb="34" eb="35">
      <t>シ</t>
    </rPh>
    <rPh sb="36" eb="37">
      <t>キ</t>
    </rPh>
    <rPh sb="38" eb="40">
      <t>ジテン</t>
    </rPh>
    <rPh sb="52" eb="54">
      <t>ソウガク</t>
    </rPh>
    <phoneticPr fontId="4"/>
  </si>
  <si>
    <t>通信欄</t>
    <rPh sb="0" eb="3">
      <t>ツウシンラン</t>
    </rPh>
    <phoneticPr fontId="4"/>
  </si>
  <si>
    <t>-</t>
    <phoneticPr fontId="4"/>
  </si>
  <si>
    <t>エントリー!$O$6:$O$85</t>
    <phoneticPr fontId="4"/>
  </si>
  <si>
    <t>リスト!$H$2:$H$5</t>
    <phoneticPr fontId="4"/>
  </si>
  <si>
    <t>競技一覧</t>
    <rPh sb="0" eb="2">
      <t>キョウギ</t>
    </rPh>
    <rPh sb="2" eb="4">
      <t>イチラン</t>
    </rPh>
    <phoneticPr fontId="4"/>
  </si>
  <si>
    <t>選手一覧</t>
    <rPh sb="0" eb="2">
      <t>センシュ</t>
    </rPh>
    <rPh sb="2" eb="4">
      <t>イチラン</t>
    </rPh>
    <phoneticPr fontId="4"/>
  </si>
  <si>
    <t>馬匹一覧</t>
    <rPh sb="0" eb="2">
      <t>バヒツ</t>
    </rPh>
    <rPh sb="2" eb="4">
      <t>イチラン</t>
    </rPh>
    <phoneticPr fontId="4"/>
  </si>
  <si>
    <t>エントリー番号一覧</t>
    <rPh sb="5" eb="7">
      <t>バンゴウ</t>
    </rPh>
    <rPh sb="7" eb="9">
      <t>イチラン</t>
    </rPh>
    <phoneticPr fontId="4"/>
  </si>
  <si>
    <t>料金区分</t>
    <rPh sb="0" eb="2">
      <t>リョウキン</t>
    </rPh>
    <rPh sb="2" eb="4">
      <t>クブン</t>
    </rPh>
    <phoneticPr fontId="4"/>
  </si>
  <si>
    <t>競技名</t>
    <rPh sb="0" eb="2">
      <t>キョウギ</t>
    </rPh>
    <rPh sb="2" eb="3">
      <t>メイ</t>
    </rPh>
    <phoneticPr fontId="4"/>
  </si>
  <si>
    <t>競技名
参照</t>
    <rPh sb="0" eb="2">
      <t>キョウギ</t>
    </rPh>
    <rPh sb="2" eb="3">
      <t>メイ</t>
    </rPh>
    <rPh sb="4" eb="6">
      <t>サンショウ</t>
    </rPh>
    <phoneticPr fontId="4"/>
  </si>
  <si>
    <t>選手名
参照</t>
    <rPh sb="0" eb="3">
      <t>センシュメイ</t>
    </rPh>
    <rPh sb="4" eb="6">
      <t>サンショウ</t>
    </rPh>
    <phoneticPr fontId="4"/>
  </si>
  <si>
    <t>選手名</t>
    <rPh sb="0" eb="3">
      <t>センシュメイ</t>
    </rPh>
    <phoneticPr fontId="4"/>
  </si>
  <si>
    <t>選手名
(登録済み)</t>
    <rPh sb="0" eb="3">
      <t>センシュメイ</t>
    </rPh>
    <rPh sb="5" eb="7">
      <t>トウロク</t>
    </rPh>
    <rPh sb="7" eb="8">
      <t>ズ</t>
    </rPh>
    <phoneticPr fontId="4"/>
  </si>
  <si>
    <t>選手名
(新規登録)</t>
    <rPh sb="0" eb="3">
      <t>センシュメイ</t>
    </rPh>
    <rPh sb="5" eb="7">
      <t>シンキ</t>
    </rPh>
    <rPh sb="7" eb="9">
      <t>トウロク</t>
    </rPh>
    <phoneticPr fontId="4"/>
  </si>
  <si>
    <t>エントリ
番号参照</t>
    <rPh sb="5" eb="7">
      <t>バンゴウ</t>
    </rPh>
    <rPh sb="7" eb="8">
      <t>ショウ</t>
    </rPh>
    <phoneticPr fontId="4"/>
  </si>
  <si>
    <t>選手区分
参照</t>
    <rPh sb="0" eb="2">
      <t>センシュ</t>
    </rPh>
    <rPh sb="2" eb="4">
      <t>クブン</t>
    </rPh>
    <rPh sb="5" eb="7">
      <t>サンショウ</t>
    </rPh>
    <phoneticPr fontId="4"/>
  </si>
  <si>
    <t>団体
参照</t>
    <rPh sb="0" eb="2">
      <t>ダンタイ</t>
    </rPh>
    <rPh sb="3" eb="5">
      <t>サンショウ</t>
    </rPh>
    <phoneticPr fontId="4"/>
  </si>
  <si>
    <t>選手区分</t>
    <rPh sb="0" eb="2">
      <t>センシュ</t>
    </rPh>
    <rPh sb="2" eb="4">
      <t>クブン</t>
    </rPh>
    <phoneticPr fontId="4"/>
  </si>
  <si>
    <t>リスト!$B$2:$B$7</t>
    <phoneticPr fontId="4"/>
  </si>
  <si>
    <t>団体</t>
    <rPh sb="0" eb="2">
      <t>ダンタイ</t>
    </rPh>
    <phoneticPr fontId="4"/>
  </si>
  <si>
    <t>馬匹
参照</t>
    <rPh sb="0" eb="2">
      <t>バヒツ</t>
    </rPh>
    <rPh sb="3" eb="5">
      <t>サンショウ</t>
    </rPh>
    <phoneticPr fontId="4"/>
  </si>
  <si>
    <t>馬匹</t>
    <rPh sb="0" eb="2">
      <t>バヒツ</t>
    </rPh>
    <phoneticPr fontId="4"/>
  </si>
  <si>
    <t>エントリ区分
参照</t>
    <rPh sb="4" eb="6">
      <t>クブン</t>
    </rPh>
    <rPh sb="7" eb="9">
      <t>サンショウ</t>
    </rPh>
    <phoneticPr fontId="4"/>
  </si>
  <si>
    <t>エントリ区分</t>
    <rPh sb="4" eb="6">
      <t>クブン</t>
    </rPh>
    <phoneticPr fontId="4"/>
  </si>
  <si>
    <t>団体一覧</t>
    <rPh sb="0" eb="2">
      <t>ダンタイ</t>
    </rPh>
    <rPh sb="2" eb="4">
      <t>イチラン</t>
    </rPh>
    <phoneticPr fontId="4"/>
  </si>
  <si>
    <t>リスト!$E$10:$E$49</t>
    <phoneticPr fontId="4"/>
  </si>
  <si>
    <t>種目
番号</t>
    <rPh sb="0" eb="2">
      <t>シュモク</t>
    </rPh>
    <rPh sb="3" eb="5">
      <t>バンゴウ</t>
    </rPh>
    <phoneticPr fontId="4"/>
  </si>
  <si>
    <t>変更金額合計</t>
    <rPh sb="0" eb="2">
      <t>ヘンコウ</t>
    </rPh>
    <rPh sb="2" eb="4">
      <t>キンガク</t>
    </rPh>
    <rPh sb="4" eb="6">
      <t>ゴウケイ</t>
    </rPh>
    <phoneticPr fontId="4"/>
  </si>
  <si>
    <t>W10</t>
    <phoneticPr fontId="4"/>
  </si>
  <si>
    <t>手数料</t>
    <rPh sb="0" eb="3">
      <t>テスウリョウ</t>
    </rPh>
    <phoneticPr fontId="4"/>
  </si>
  <si>
    <t>エントリー締め切り前の変更は、エントリーシートを編集の上、変更点を通信欄に記入して提出してください。</t>
    <rPh sb="5" eb="6">
      <t>シ</t>
    </rPh>
    <rPh sb="7" eb="8">
      <t>キ</t>
    </rPh>
    <rPh sb="9" eb="10">
      <t>マエ</t>
    </rPh>
    <rPh sb="11" eb="13">
      <t>ヘンコウ</t>
    </rPh>
    <rPh sb="24" eb="26">
      <t>ヘンシュウ</t>
    </rPh>
    <rPh sb="27" eb="28">
      <t>ウエ</t>
    </rPh>
    <rPh sb="29" eb="32">
      <t>ヘンコウテン</t>
    </rPh>
    <rPh sb="33" eb="36">
      <t>ツウシンラン</t>
    </rPh>
    <rPh sb="37" eb="39">
      <t>キニュウ</t>
    </rPh>
    <rPh sb="41" eb="43">
      <t>テイシュツ</t>
    </rPh>
    <phoneticPr fontId="4"/>
  </si>
  <si>
    <t>変更
種別</t>
    <rPh sb="0" eb="2">
      <t>ヘンコウ</t>
    </rPh>
    <rPh sb="3" eb="5">
      <t>シュベツ</t>
    </rPh>
    <phoneticPr fontId="4"/>
  </si>
  <si>
    <t>追加</t>
    <rPh sb="0" eb="2">
      <t>ツイカ</t>
    </rPh>
    <phoneticPr fontId="4"/>
  </si>
  <si>
    <t>馬匹名</t>
    <rPh sb="0" eb="2">
      <t>バヒツ</t>
    </rPh>
    <rPh sb="2" eb="3">
      <t>メイ</t>
    </rPh>
    <phoneticPr fontId="4"/>
  </si>
  <si>
    <t>区分</t>
    <rPh sb="0" eb="2">
      <t>クブン</t>
    </rPh>
    <phoneticPr fontId="4"/>
  </si>
  <si>
    <t>所属</t>
    <rPh sb="0" eb="2">
      <t>ショゾク</t>
    </rPh>
    <phoneticPr fontId="4"/>
  </si>
  <si>
    <t>保険加入</t>
    <rPh sb="0" eb="2">
      <t>ホケン</t>
    </rPh>
    <rPh sb="2" eb="4">
      <t>カニュウ</t>
    </rPh>
    <phoneticPr fontId="4"/>
  </si>
  <si>
    <t>リスト!$K$2:$K$3</t>
    <phoneticPr fontId="4"/>
  </si>
  <si>
    <t>姓</t>
  </si>
  <si>
    <t>名</t>
  </si>
  <si>
    <t>INDIRECT</t>
    <phoneticPr fontId="4"/>
  </si>
  <si>
    <t>(馬匹登録)</t>
    <rPh sb="3" eb="5">
      <t>トウロク</t>
    </rPh>
    <phoneticPr fontId="4"/>
  </si>
  <si>
    <t>(選手登録)</t>
    <rPh sb="3" eb="5">
      <t>トウロク</t>
    </rPh>
    <phoneticPr fontId="4"/>
  </si>
  <si>
    <t>料金</t>
    <rPh sb="0" eb="2">
      <t>リョウキン</t>
    </rPh>
    <phoneticPr fontId="4"/>
  </si>
  <si>
    <t>合計</t>
    <rPh sb="0" eb="2">
      <t>ゴウケイ</t>
    </rPh>
    <phoneticPr fontId="4"/>
  </si>
  <si>
    <t>選手集約</t>
    <rPh sb="0" eb="2">
      <t>センシュ</t>
    </rPh>
    <rPh sb="2" eb="4">
      <t>シュウヤク</t>
    </rPh>
    <phoneticPr fontId="4"/>
  </si>
  <si>
    <t>変更番号</t>
    <rPh sb="0" eb="2">
      <t>ヘンコウ</t>
    </rPh>
    <rPh sb="2" eb="4">
      <t>バンゴウ</t>
    </rPh>
    <phoneticPr fontId="4"/>
  </si>
  <si>
    <t>馬名</t>
    <rPh sb="0" eb="2">
      <t>バメイ</t>
    </rPh>
    <phoneticPr fontId="4"/>
  </si>
  <si>
    <t>(注)競技番号は実施順序とは異なります</t>
    <rPh sb="1" eb="2">
      <t>チュウ</t>
    </rPh>
    <rPh sb="3" eb="5">
      <t>キョウギ</t>
    </rPh>
    <rPh sb="5" eb="7">
      <t>バンゴウ</t>
    </rPh>
    <rPh sb="8" eb="10">
      <t>ジッシ</t>
    </rPh>
    <rPh sb="10" eb="12">
      <t>ジュンジョ</t>
    </rPh>
    <rPh sb="14" eb="15">
      <t>コト</t>
    </rPh>
    <phoneticPr fontId="4"/>
  </si>
  <si>
    <t>■ エントリーの変更について</t>
    <rPh sb="8" eb="10">
      <t>ヘンコウ</t>
    </rPh>
    <phoneticPr fontId="4"/>
  </si>
  <si>
    <t>メールアドレス： shabaren@jbg.jp</t>
    <phoneticPr fontId="4"/>
  </si>
  <si>
    <t>■ 日程</t>
    <rPh sb="2" eb="4">
      <t>ニッテイ</t>
    </rPh>
    <phoneticPr fontId="4"/>
  </si>
  <si>
    <t>■ 記入方法</t>
    <rPh sb="2" eb="4">
      <t>キニュウ</t>
    </rPh>
    <rPh sb="4" eb="6">
      <t>ホウホウ</t>
    </rPh>
    <phoneticPr fontId="4"/>
  </si>
  <si>
    <t>日本社会人団体馬術連盟 事務局</t>
    <rPh sb="0" eb="11">
      <t>ｊｂｇ</t>
    </rPh>
    <rPh sb="12" eb="15">
      <t>ジムキョク</t>
    </rPh>
    <phoneticPr fontId="4"/>
  </si>
  <si>
    <t>・エントリー締め切り前の変更は、エントリーシートを編集の上、変更点を通信欄に記入して提出してください。</t>
    <rPh sb="6" eb="7">
      <t>シ</t>
    </rPh>
    <rPh sb="8" eb="9">
      <t>キ</t>
    </rPh>
    <rPh sb="10" eb="11">
      <t>マエ</t>
    </rPh>
    <rPh sb="12" eb="14">
      <t>ヘンコウ</t>
    </rPh>
    <rPh sb="25" eb="27">
      <t>ヘンシュウ</t>
    </rPh>
    <rPh sb="28" eb="29">
      <t>ウエ</t>
    </rPh>
    <rPh sb="30" eb="33">
      <t>ヘンコウテン</t>
    </rPh>
    <rPh sb="34" eb="37">
      <t>ツウシンラン</t>
    </rPh>
    <rPh sb="38" eb="40">
      <t>キニュウ</t>
    </rPh>
    <rPh sb="42" eb="44">
      <t>テイシュツ</t>
    </rPh>
    <phoneticPr fontId="4"/>
  </si>
  <si>
    <t>・ファイル名に団体名を付けて、メールにてお申し込みください。</t>
    <rPh sb="5" eb="6">
      <t>メイ</t>
    </rPh>
    <rPh sb="7" eb="9">
      <t>ダンタイ</t>
    </rPh>
    <rPh sb="9" eb="10">
      <t>メイ</t>
    </rPh>
    <rPh sb="11" eb="12">
      <t>ツ</t>
    </rPh>
    <rPh sb="21" eb="22">
      <t>モウ</t>
    </rPh>
    <rPh sb="23" eb="24">
      <t>コ</t>
    </rPh>
    <phoneticPr fontId="4"/>
  </si>
  <si>
    <t>・内容、金額等を確認して、保存してください。</t>
    <rPh sb="1" eb="3">
      <t>ナイヨウ</t>
    </rPh>
    <rPh sb="4" eb="6">
      <t>キンガク</t>
    </rPh>
    <rPh sb="6" eb="7">
      <t>トウ</t>
    </rPh>
    <rPh sb="8" eb="10">
      <t>カクニン</t>
    </rPh>
    <rPh sb="13" eb="15">
      <t>ホゾン</t>
    </rPh>
    <phoneticPr fontId="4"/>
  </si>
  <si>
    <t>馬匹登録料</t>
    <rPh sb="0" eb="2">
      <t>バヒツ</t>
    </rPh>
    <rPh sb="2" eb="4">
      <t>トウロク</t>
    </rPh>
    <rPh sb="4" eb="5">
      <t>リョウ</t>
    </rPh>
    <phoneticPr fontId="4"/>
  </si>
  <si>
    <t>エントリー数</t>
    <rPh sb="5" eb="6">
      <t>スウ</t>
    </rPh>
    <phoneticPr fontId="4"/>
  </si>
  <si>
    <t>エントリー料金合計：</t>
    <rPh sb="5" eb="6">
      <t>リョウ</t>
    </rPh>
    <rPh sb="6" eb="7">
      <t>キン</t>
    </rPh>
    <rPh sb="7" eb="9">
      <t>ゴウケイ</t>
    </rPh>
    <phoneticPr fontId="4"/>
  </si>
  <si>
    <t>登録馬匹数</t>
    <rPh sb="0" eb="2">
      <t>トウロク</t>
    </rPh>
    <rPh sb="2" eb="4">
      <t>バヒツ</t>
    </rPh>
    <rPh sb="4" eb="5">
      <t>スウ</t>
    </rPh>
    <phoneticPr fontId="4"/>
  </si>
  <si>
    <t>変更項目を選択後、クリーム色のセルを入力・選択してください。</t>
    <rPh sb="13" eb="14">
      <t>イロ</t>
    </rPh>
    <phoneticPr fontId="4"/>
  </si>
  <si>
    <t>保険</t>
    <rPh sb="0" eb="2">
      <t>ホケン</t>
    </rPh>
    <phoneticPr fontId="4"/>
  </si>
  <si>
    <t>番号</t>
    <rPh sb="0" eb="2">
      <t>バンゴウ</t>
    </rPh>
    <phoneticPr fontId="4"/>
  </si>
  <si>
    <t>選手姓</t>
    <rPh sb="0" eb="2">
      <t>センシュ</t>
    </rPh>
    <rPh sb="2" eb="3">
      <t>セイ</t>
    </rPh>
    <phoneticPr fontId="4"/>
  </si>
  <si>
    <t>名</t>
    <rPh sb="0" eb="1">
      <t>メイ</t>
    </rPh>
    <phoneticPr fontId="4"/>
  </si>
  <si>
    <t>集計用</t>
    <rPh sb="0" eb="3">
      <t>シュウケイヨウ</t>
    </rPh>
    <phoneticPr fontId="4"/>
  </si>
  <si>
    <t>作業テーブル</t>
    <rPh sb="0" eb="2">
      <t>サギョウ</t>
    </rPh>
    <phoneticPr fontId="4"/>
  </si>
  <si>
    <t>参照リスト INDIRECT用</t>
    <rPh sb="0" eb="2">
      <t>サンショウ</t>
    </rPh>
    <rPh sb="14" eb="15">
      <t>ヨウ</t>
    </rPh>
    <phoneticPr fontId="4"/>
  </si>
  <si>
    <t>作業用</t>
    <rPh sb="0" eb="3">
      <t>サギョウヨウ</t>
    </rPh>
    <phoneticPr fontId="4"/>
  </si>
  <si>
    <t>参照用</t>
    <rPh sb="0" eb="3">
      <t>サンショウヨウ</t>
    </rPh>
    <phoneticPr fontId="4"/>
  </si>
  <si>
    <t>選手情報</t>
    <rPh sb="0" eb="2">
      <t>センシュ</t>
    </rPh>
    <rPh sb="2" eb="4">
      <t>ジョウホウ</t>
    </rPh>
    <phoneticPr fontId="4"/>
  </si>
  <si>
    <t>選手名</t>
    <phoneticPr fontId="4"/>
  </si>
  <si>
    <t>馬匹情報</t>
    <rPh sb="0" eb="2">
      <t>バヒツ</t>
    </rPh>
    <rPh sb="2" eb="4">
      <t>ジョウホウ</t>
    </rPh>
    <phoneticPr fontId="4"/>
  </si>
  <si>
    <t>競技名(番号・班入り)</t>
    <rPh sb="0" eb="2">
      <t>キョウギ</t>
    </rPh>
    <rPh sb="2" eb="3">
      <t>メイ</t>
    </rPh>
    <rPh sb="4" eb="6">
      <t>バンゴウ</t>
    </rPh>
    <rPh sb="7" eb="8">
      <t>ハン</t>
    </rPh>
    <rPh sb="8" eb="9">
      <t>イ</t>
    </rPh>
    <phoneticPr fontId="4"/>
  </si>
  <si>
    <t>全部</t>
    <rPh sb="0" eb="2">
      <t>ゼンブ</t>
    </rPh>
    <phoneticPr fontId="4"/>
  </si>
  <si>
    <t>オープンなし</t>
    <phoneticPr fontId="4"/>
  </si>
  <si>
    <t>一般のみ</t>
    <rPh sb="0" eb="2">
      <t>イッパン</t>
    </rPh>
    <phoneticPr fontId="4"/>
  </si>
  <si>
    <t>社馬連のみ</t>
    <rPh sb="0" eb="3">
      <t>シャバレン</t>
    </rPh>
    <phoneticPr fontId="4"/>
  </si>
  <si>
    <t>学生のみ</t>
    <rPh sb="0" eb="2">
      <t>ガクセイ</t>
    </rPh>
    <phoneticPr fontId="4"/>
  </si>
  <si>
    <t>通信欄</t>
    <rPh sb="0" eb="3">
      <t>ツウシンラン</t>
    </rPh>
    <phoneticPr fontId="4"/>
  </si>
  <si>
    <t>馬匹集約</t>
    <rPh sb="0" eb="2">
      <t>バヒツ</t>
    </rPh>
    <rPh sb="2" eb="4">
      <t>シュウヤク</t>
    </rPh>
    <phoneticPr fontId="4"/>
  </si>
  <si>
    <t>公認</t>
    <rPh sb="0" eb="2">
      <t>コウニン</t>
    </rPh>
    <phoneticPr fontId="4"/>
  </si>
  <si>
    <t>以上、誓約いたします。</t>
  </si>
  <si>
    <t>委  任  状</t>
    <rPh sb="0" eb="1">
      <t>イ</t>
    </rPh>
    <rPh sb="3" eb="4">
      <t>ニン</t>
    </rPh>
    <rPh sb="6" eb="7">
      <t>ジョウ</t>
    </rPh>
    <phoneticPr fontId="4"/>
  </si>
  <si>
    <t>大会会長</t>
    <rPh sb="0" eb="2">
      <t>タイカイ</t>
    </rPh>
    <rPh sb="2" eb="4">
      <t>カイチョウ</t>
    </rPh>
    <phoneticPr fontId="4"/>
  </si>
  <si>
    <t>月</t>
    <rPh sb="0" eb="1">
      <t>ガツ</t>
    </rPh>
    <phoneticPr fontId="4"/>
  </si>
  <si>
    <t>日</t>
    <rPh sb="0" eb="1">
      <t>ニチ</t>
    </rPh>
    <phoneticPr fontId="4"/>
  </si>
  <si>
    <t>選手名</t>
    <rPh sb="0" eb="3">
      <t>センシュメイ</t>
    </rPh>
    <phoneticPr fontId="4"/>
  </si>
  <si>
    <t>保護者名(自署)</t>
    <rPh sb="0" eb="3">
      <t>ホゴシャ</t>
    </rPh>
    <rPh sb="3" eb="4">
      <t>メイ</t>
    </rPh>
    <rPh sb="5" eb="7">
      <t>ジショ</t>
    </rPh>
    <phoneticPr fontId="4"/>
  </si>
  <si>
    <t>団体名</t>
    <rPh sb="0" eb="2">
      <t>ダンタイ</t>
    </rPh>
    <rPh sb="2" eb="3">
      <t>メイ</t>
    </rPh>
    <phoneticPr fontId="4"/>
  </si>
  <si>
    <t>未成年者の落馬後の再騎乗に関する保護者からの委任状</t>
    <rPh sb="0" eb="4">
      <t>ミセイネンシャ</t>
    </rPh>
    <rPh sb="5" eb="7">
      <t>ラクバ</t>
    </rPh>
    <rPh sb="7" eb="8">
      <t>ゴ</t>
    </rPh>
    <rPh sb="9" eb="10">
      <t>サイ</t>
    </rPh>
    <rPh sb="10" eb="12">
      <t>キジョウ</t>
    </rPh>
    <rPh sb="13" eb="14">
      <t>カン</t>
    </rPh>
    <rPh sb="16" eb="19">
      <t>ホゴシャ</t>
    </rPh>
    <rPh sb="22" eb="25">
      <t>イニンジョウ</t>
    </rPh>
    <phoneticPr fontId="4"/>
  </si>
  <si>
    <t>未成年</t>
    <rPh sb="0" eb="3">
      <t>ミセイネン</t>
    </rPh>
    <phoneticPr fontId="4"/>
  </si>
  <si>
    <t>成人・未成年</t>
    <rPh sb="0" eb="2">
      <t>セイジン</t>
    </rPh>
    <rPh sb="3" eb="6">
      <t>ミセイネン</t>
    </rPh>
    <phoneticPr fontId="4"/>
  </si>
  <si>
    <t>エントリー締め切り後、変更受付期間の変更は、こちらの変更申し込みに記入してください。</t>
    <rPh sb="5" eb="6">
      <t>シ</t>
    </rPh>
    <rPh sb="7" eb="8">
      <t>キ</t>
    </rPh>
    <rPh sb="9" eb="10">
      <t>ゴ</t>
    </rPh>
    <rPh sb="11" eb="13">
      <t>ヘンコウ</t>
    </rPh>
    <rPh sb="13" eb="15">
      <t>ウケツケ</t>
    </rPh>
    <rPh sb="15" eb="17">
      <t>キカン</t>
    </rPh>
    <rPh sb="18" eb="20">
      <t>ヘンコウ</t>
    </rPh>
    <rPh sb="26" eb="28">
      <t>ヘンコウ</t>
    </rPh>
    <rPh sb="28" eb="29">
      <t>モウ</t>
    </rPh>
    <rPh sb="30" eb="31">
      <t>コ</t>
    </rPh>
    <rPh sb="33" eb="35">
      <t>キニュウ</t>
    </rPh>
    <phoneticPr fontId="4"/>
  </si>
  <si>
    <t>　本状記載の選手が落馬した場合の再騎乗に関する判断について、団体代表・当日団体責任者、または＿＿＿＿＿＿＿＿＿＿氏に一任します。</t>
    <rPh sb="20" eb="21">
      <t>カン</t>
    </rPh>
    <rPh sb="30" eb="32">
      <t>ダンタイ</t>
    </rPh>
    <rPh sb="32" eb="34">
      <t>ダイヒョウ</t>
    </rPh>
    <rPh sb="35" eb="37">
      <t>トウジツ</t>
    </rPh>
    <rPh sb="37" eb="39">
      <t>ダンタイ</t>
    </rPh>
    <rPh sb="39" eb="42">
      <t>セキニンシャ</t>
    </rPh>
    <rPh sb="56" eb="57">
      <t>シ</t>
    </rPh>
    <rPh sb="58" eb="60">
      <t>イチニン</t>
    </rPh>
    <phoneticPr fontId="4"/>
  </si>
  <si>
    <t>回数</t>
    <rPh sb="0" eb="2">
      <t>カイスウ</t>
    </rPh>
    <phoneticPr fontId="4"/>
  </si>
  <si>
    <t>・エントリーの変更・追加によって、不足金が発生した場合、不足金の納付を以って、変更・追加の受領とします。</t>
    <rPh sb="7" eb="9">
      <t>ヘンコウ</t>
    </rPh>
    <rPh sb="10" eb="12">
      <t>ツイカ</t>
    </rPh>
    <rPh sb="17" eb="19">
      <t>フソク</t>
    </rPh>
    <rPh sb="19" eb="20">
      <t>キン</t>
    </rPh>
    <rPh sb="21" eb="23">
      <t>ハッセイ</t>
    </rPh>
    <rPh sb="25" eb="27">
      <t>バアイ</t>
    </rPh>
    <rPh sb="28" eb="30">
      <t>フソク</t>
    </rPh>
    <rPh sb="30" eb="31">
      <t>キン</t>
    </rPh>
    <rPh sb="32" eb="34">
      <t>ノウフ</t>
    </rPh>
    <rPh sb="35" eb="36">
      <t>モ</t>
    </rPh>
    <rPh sb="39" eb="41">
      <t>ヘンコウ</t>
    </rPh>
    <rPh sb="42" eb="44">
      <t>ツイカ</t>
    </rPh>
    <rPh sb="45" eb="47">
      <t>ジュリョウ</t>
    </rPh>
    <phoneticPr fontId="4"/>
  </si>
  <si>
    <t>・エントリーのキャンセル、変更によって余剰金が生じた場合でも、返金は行いません。</t>
    <rPh sb="13" eb="15">
      <t>ヘンコウ</t>
    </rPh>
    <rPh sb="19" eb="21">
      <t>ヨジョウ</t>
    </rPh>
    <rPh sb="21" eb="22">
      <t>キン</t>
    </rPh>
    <rPh sb="23" eb="24">
      <t>ショウ</t>
    </rPh>
    <rPh sb="26" eb="28">
      <t>バアイ</t>
    </rPh>
    <rPh sb="31" eb="33">
      <t>ヘンキン</t>
    </rPh>
    <rPh sb="34" eb="35">
      <t>オコナ</t>
    </rPh>
    <phoneticPr fontId="4"/>
  </si>
  <si>
    <t>(団体情報・誓約)</t>
    <rPh sb="6" eb="8">
      <t>セイヤク</t>
    </rPh>
    <phoneticPr fontId="4"/>
  </si>
  <si>
    <t xml:space="preserve">印 </t>
    <rPh sb="0" eb="1">
      <t>イン</t>
    </rPh>
    <phoneticPr fontId="4"/>
  </si>
  <si>
    <t>(変更申し込み － 変更受付期間用)</t>
    <rPh sb="10" eb="12">
      <t>ヘンコウ</t>
    </rPh>
    <rPh sb="12" eb="14">
      <t>ウケツケ</t>
    </rPh>
    <rPh sb="14" eb="16">
      <t>キカン</t>
    </rPh>
    <rPh sb="16" eb="17">
      <t>ヨウ</t>
    </rPh>
    <phoneticPr fontId="4"/>
  </si>
  <si>
    <r>
      <t>公認番号</t>
    </r>
    <r>
      <rPr>
        <sz val="9"/>
        <color theme="1"/>
        <rFont val="游ゴシック"/>
        <family val="3"/>
        <charset val="128"/>
        <scheme val="minor"/>
      </rPr>
      <t>(公認競技用)</t>
    </r>
    <rPh sb="0" eb="2">
      <t>コウニン</t>
    </rPh>
    <rPh sb="2" eb="4">
      <t>バンゴウ</t>
    </rPh>
    <rPh sb="5" eb="7">
      <t>コウニン</t>
    </rPh>
    <rPh sb="7" eb="9">
      <t>キョウギ</t>
    </rPh>
    <rPh sb="9" eb="10">
      <t>ヨウ</t>
    </rPh>
    <phoneticPr fontId="4"/>
  </si>
  <si>
    <r>
      <t>選手名</t>
    </r>
    <r>
      <rPr>
        <sz val="10"/>
        <color theme="1"/>
        <rFont val="游ゴシック"/>
        <family val="3"/>
        <charset val="128"/>
        <scheme val="minor"/>
      </rPr>
      <t>(変更後)</t>
    </r>
    <rPh sb="0" eb="3">
      <t>センシュメイ</t>
    </rPh>
    <rPh sb="4" eb="6">
      <t>ヘンコウ</t>
    </rPh>
    <rPh sb="6" eb="7">
      <t>ゴ</t>
    </rPh>
    <phoneticPr fontId="4"/>
  </si>
  <si>
    <t>※ 可能な限り、エクセルファイルへの入力・メール提出でのエントリーをお願いします。 ※</t>
    <rPh sb="2" eb="4">
      <t>カノウ</t>
    </rPh>
    <rPh sb="5" eb="6">
      <t>カギ</t>
    </rPh>
    <rPh sb="18" eb="20">
      <t>ニュウリョク</t>
    </rPh>
    <rPh sb="24" eb="26">
      <t>テイシュツ</t>
    </rPh>
    <rPh sb="35" eb="36">
      <t>ネガ</t>
    </rPh>
    <phoneticPr fontId="4"/>
  </si>
  <si>
    <t>自由選択課目</t>
    <rPh sb="0" eb="2">
      <t>ジユウ</t>
    </rPh>
    <rPh sb="2" eb="4">
      <t>センタク</t>
    </rPh>
    <rPh sb="4" eb="6">
      <t>カモク</t>
    </rPh>
    <phoneticPr fontId="4"/>
  </si>
  <si>
    <t>成年</t>
    <rPh sb="0" eb="2">
      <t>セイネン</t>
    </rPh>
    <phoneticPr fontId="4"/>
  </si>
  <si>
    <t>成年・
未成年(*2)</t>
    <rPh sb="0" eb="2">
      <t>セイネン</t>
    </rPh>
    <rPh sb="4" eb="7">
      <t>ミセイネン</t>
    </rPh>
    <phoneticPr fontId="4"/>
  </si>
  <si>
    <t>社馬連区分の場合、選手登録で社馬連団体を指定してください。</t>
  </si>
  <si>
    <t>エントリー料金</t>
    <rPh sb="5" eb="7">
      <t>リョウキン</t>
    </rPh>
    <phoneticPr fontId="4"/>
  </si>
  <si>
    <t>変更手数料</t>
    <rPh sb="0" eb="2">
      <t>ヘンコウ</t>
    </rPh>
    <rPh sb="2" eb="5">
      <t>テスウリョウ</t>
    </rPh>
    <phoneticPr fontId="4"/>
  </si>
  <si>
    <t>差額</t>
    <rPh sb="0" eb="2">
      <t>サガク</t>
    </rPh>
    <phoneticPr fontId="4"/>
  </si>
  <si>
    <t>変更料金</t>
    <rPh sb="0" eb="2">
      <t>ヘンコウ</t>
    </rPh>
    <rPh sb="2" eb="4">
      <t>リョウキン</t>
    </rPh>
    <phoneticPr fontId="4"/>
  </si>
  <si>
    <t>通信</t>
    <rPh sb="0" eb="2">
      <t>ツウシン</t>
    </rPh>
    <phoneticPr fontId="4"/>
  </si>
  <si>
    <t>* 万一、未成年の選手が落馬し、保護者が不在で、委任状の提出がない場合、その後、大会期間中、再騎乗は認められません。その後の競技へのエントリーがある場合は、棄権扱いとなります。</t>
    <rPh sb="38" eb="39">
      <t>ゴ</t>
    </rPh>
    <rPh sb="60" eb="61">
      <t>ゴ</t>
    </rPh>
    <phoneticPr fontId="4"/>
  </si>
  <si>
    <t>エントリー締切前</t>
    <rPh sb="5" eb="7">
      <t>シメキリ</t>
    </rPh>
    <rPh sb="7" eb="8">
      <t>マエ</t>
    </rPh>
    <phoneticPr fontId="4"/>
  </si>
  <si>
    <t>変更受付期間 以降</t>
    <rPh sb="0" eb="2">
      <t>ヘンコウ</t>
    </rPh>
    <rPh sb="2" eb="4">
      <t>ウケツケ</t>
    </rPh>
    <rPh sb="4" eb="6">
      <t>キカン</t>
    </rPh>
    <rPh sb="7" eb="9">
      <t>イコウ</t>
    </rPh>
    <phoneticPr fontId="4"/>
  </si>
  <si>
    <t>AM・PM</t>
  </si>
  <si>
    <t>印刷して提出してください。</t>
    <rPh sb="0" eb="2">
      <t>インサツ</t>
    </rPh>
    <rPh sb="4" eb="6">
      <t>テイシュツ</t>
    </rPh>
    <phoneticPr fontId="4"/>
  </si>
  <si>
    <t>開催期間</t>
    <rPh sb="0" eb="2">
      <t>カイサイ</t>
    </rPh>
    <rPh sb="2" eb="4">
      <t>キカン</t>
    </rPh>
    <phoneticPr fontId="4"/>
  </si>
  <si>
    <t>エントリー締切</t>
    <rPh sb="5" eb="7">
      <t>シメキリ</t>
    </rPh>
    <phoneticPr fontId="4"/>
  </si>
  <si>
    <t>変更受付開始</t>
    <rPh sb="0" eb="2">
      <t>ヘンコウ</t>
    </rPh>
    <rPh sb="2" eb="4">
      <t>ウケツケ</t>
    </rPh>
    <rPh sb="4" eb="6">
      <t>カイシ</t>
    </rPh>
    <phoneticPr fontId="4"/>
  </si>
  <si>
    <t>変更受付終了</t>
    <rPh sb="0" eb="2">
      <t>ヘンコウ</t>
    </rPh>
    <rPh sb="2" eb="4">
      <t>ウケツケ</t>
    </rPh>
    <rPh sb="4" eb="6">
      <t>シュウリョウ</t>
    </rPh>
    <phoneticPr fontId="4"/>
  </si>
  <si>
    <t>打ち合わせ会</t>
    <rPh sb="0" eb="1">
      <t>ウ</t>
    </rPh>
    <rPh sb="2" eb="3">
      <t>ア</t>
    </rPh>
    <rPh sb="5" eb="6">
      <t>カイ</t>
    </rPh>
    <phoneticPr fontId="4"/>
  </si>
  <si>
    <t>ホースマネージャー棟宿泊料</t>
    <rPh sb="9" eb="10">
      <t>トウ</t>
    </rPh>
    <rPh sb="10" eb="13">
      <t>シュクハクリョウ</t>
    </rPh>
    <phoneticPr fontId="4"/>
  </si>
  <si>
    <t>・ 同一団体の出場の順番についてはエントリーシートの記載順を基本とします。</t>
    <phoneticPr fontId="4"/>
  </si>
  <si>
    <t xml:space="preserve">■ 申込書送付先： </t>
    <rPh sb="2" eb="5">
      <t>モウシコミショ</t>
    </rPh>
    <rPh sb="5" eb="8">
      <t>ソウフサキ</t>
    </rPh>
    <phoneticPr fontId="4"/>
  </si>
  <si>
    <t>競技一覧!$P$5:$P$50</t>
    <phoneticPr fontId="4"/>
  </si>
  <si>
    <t>変更手数料(変更期間中)</t>
    <rPh sb="0" eb="2">
      <t>ヘンコウ</t>
    </rPh>
    <rPh sb="2" eb="5">
      <t>テスウリョウ</t>
    </rPh>
    <rPh sb="6" eb="8">
      <t>ヘンコウ</t>
    </rPh>
    <rPh sb="8" eb="11">
      <t>キカンチュウ</t>
    </rPh>
    <phoneticPr fontId="4"/>
  </si>
  <si>
    <t>変更手数料(変更期間後)</t>
    <rPh sb="0" eb="2">
      <t>ヘンコウ</t>
    </rPh>
    <rPh sb="2" eb="5">
      <t>テスウリョウ</t>
    </rPh>
    <rPh sb="6" eb="8">
      <t>ヘンコウ</t>
    </rPh>
    <rPh sb="8" eb="10">
      <t>キカン</t>
    </rPh>
    <rPh sb="10" eb="11">
      <t>ゴ</t>
    </rPh>
    <phoneticPr fontId="4"/>
  </si>
  <si>
    <t>変更日</t>
    <rPh sb="0" eb="3">
      <t>ヘンコウビ</t>
    </rPh>
    <phoneticPr fontId="4"/>
  </si>
  <si>
    <t>uma</t>
  </si>
  <si>
    <t>日付</t>
    <rPh sb="0" eb="2">
      <t>ヒヅケ</t>
    </rPh>
    <phoneticPr fontId="4"/>
  </si>
  <si>
    <t>(未成年者の落馬後の再騎乗に関する保護者からの委任状)</t>
    <phoneticPr fontId="4"/>
  </si>
  <si>
    <r>
      <t>(左側BOXに</t>
    </r>
    <r>
      <rPr>
        <sz val="9"/>
        <color theme="1"/>
        <rFont val="Segoe UI Symbol"/>
        <family val="2"/>
      </rPr>
      <t>✔</t>
    </r>
    <r>
      <rPr>
        <sz val="9"/>
        <color theme="1"/>
        <rFont val="游ゴシック"/>
        <family val="2"/>
        <scheme val="minor"/>
      </rPr>
      <t>チェックを選択/入れてください)</t>
    </r>
    <rPh sb="1" eb="3">
      <t>ヒダリガワ</t>
    </rPh>
    <rPh sb="13" eb="15">
      <t>センタク</t>
    </rPh>
    <rPh sb="16" eb="17">
      <t>イ</t>
    </rPh>
    <phoneticPr fontId="4"/>
  </si>
  <si>
    <t>実施日</t>
    <rPh sb="0" eb="3">
      <t>ジッシビ</t>
    </rPh>
    <phoneticPr fontId="4"/>
  </si>
  <si>
    <t>　私たち選手及び関係者は、大会の趣旨とルールを順守し、ホースマンシップに則って臨みます。また、会場内では人馬含め、あらゆる安全に十分配慮して行動し、万が一事故等に遭遇した場合でも、主催者及び貴連盟にその責や異議を申し立てません。
　すべての選手は適切な傷害保険に加入しています。</t>
    <rPh sb="90" eb="93">
      <t>シュサイシャ</t>
    </rPh>
    <rPh sb="93" eb="94">
      <t>オヨ</t>
    </rPh>
    <rPh sb="120" eb="122">
      <t>センシュ</t>
    </rPh>
    <rPh sb="123" eb="125">
      <t>テキセツ</t>
    </rPh>
    <rPh sb="126" eb="128">
      <t>ショウガイ</t>
    </rPh>
    <rPh sb="128" eb="130">
      <t>ホケン</t>
    </rPh>
    <rPh sb="131" eb="133">
      <t>カニュウ</t>
    </rPh>
    <phoneticPr fontId="4"/>
  </si>
  <si>
    <t>ヤフー乗馬部</t>
  </si>
  <si>
    <t>基本情報</t>
    <rPh sb="0" eb="2">
      <t>キホン</t>
    </rPh>
    <rPh sb="2" eb="4">
      <t>ジョウホウ</t>
    </rPh>
    <phoneticPr fontId="4"/>
  </si>
  <si>
    <t>* 一枚に収まらない場合は、2枚以上に分けて記入してください。</t>
    <rPh sb="2" eb="4">
      <t>イチマイ</t>
    </rPh>
    <rPh sb="5" eb="6">
      <t>オサ</t>
    </rPh>
    <rPh sb="10" eb="12">
      <t>バアイ</t>
    </rPh>
    <rPh sb="15" eb="18">
      <t>マイイジョウ</t>
    </rPh>
    <rPh sb="19" eb="20">
      <t>ワ</t>
    </rPh>
    <rPh sb="22" eb="24">
      <t>キニュウ</t>
    </rPh>
    <phoneticPr fontId="4"/>
  </si>
  <si>
    <t>* 落馬は競技中・競技場内に限りません。大会期間中の、競技場・準備運動場・通路等、御殿場市馬術・スポーツセンター敷地内でのすべての落馬に適用されます。</t>
    <rPh sb="2" eb="4">
      <t>ラクバ</t>
    </rPh>
    <rPh sb="5" eb="8">
      <t>キョウギチュウ</t>
    </rPh>
    <rPh sb="20" eb="22">
      <t>タイカイ</t>
    </rPh>
    <rPh sb="22" eb="25">
      <t>キカンチュウ</t>
    </rPh>
    <phoneticPr fontId="4"/>
  </si>
  <si>
    <t>* 落馬は競技中・競技場内に限りません。大会期間中の、競技場・準備運動場・通路等、御殿場市馬術・スポーツセンター敷地内でのすべての落馬に適用されます。</t>
    <rPh sb="2" eb="4">
      <t>ラクバ</t>
    </rPh>
    <rPh sb="5" eb="8">
      <t>キョウギチュウ</t>
    </rPh>
    <rPh sb="20" eb="25">
      <t>タイカイキカンチュウ</t>
    </rPh>
    <phoneticPr fontId="4"/>
  </si>
  <si>
    <t>* 印刷して、日付、選手名、保護者名(自署)を記入し、捺印してください。エントリー後、日本社会人団体馬術連盟 事務局まで郵送、または大会本部・打ち合わせ会 会場で提出してください。</t>
    <rPh sb="41" eb="42">
      <t>ゴ</t>
    </rPh>
    <rPh sb="66" eb="68">
      <t>タイカイ</t>
    </rPh>
    <rPh sb="68" eb="70">
      <t>ホンブ</t>
    </rPh>
    <phoneticPr fontId="4"/>
  </si>
  <si>
    <t>提出区分</t>
    <rPh sb="0" eb="2">
      <t>テイシュツ</t>
    </rPh>
    <rPh sb="2" eb="4">
      <t>クブン</t>
    </rPh>
    <phoneticPr fontId="4"/>
  </si>
  <si>
    <t>・人馬両方の変更や、競技・日程の変更は、エントリーのキャンセルと追加の変更2件の扱いとなります。</t>
    <rPh sb="1" eb="3">
      <t>ジンバ</t>
    </rPh>
    <rPh sb="3" eb="5">
      <t>リョウホウ</t>
    </rPh>
    <rPh sb="6" eb="8">
      <t>ヘンコウ</t>
    </rPh>
    <rPh sb="10" eb="12">
      <t>キョウギ</t>
    </rPh>
    <rPh sb="13" eb="15">
      <t>ニッテイ</t>
    </rPh>
    <rPh sb="16" eb="18">
      <t>ヘンコウ</t>
    </rPh>
    <rPh sb="32" eb="34">
      <t>ツイカ</t>
    </rPh>
    <rPh sb="35" eb="37">
      <t>ヘンコウ</t>
    </rPh>
    <rPh sb="38" eb="39">
      <t>ケン</t>
    </rPh>
    <rPh sb="40" eb="41">
      <t>アツカ</t>
    </rPh>
    <phoneticPr fontId="4"/>
  </si>
  <si>
    <t>委任状</t>
    <rPh sb="0" eb="3">
      <t>イニンジョウ</t>
    </rPh>
    <phoneticPr fontId="4"/>
  </si>
  <si>
    <t>誓約</t>
    <rPh sb="0" eb="2">
      <t>セイヤク</t>
    </rPh>
    <phoneticPr fontId="4"/>
  </si>
  <si>
    <t>確認</t>
    <rPh sb="0" eb="2">
      <t>カクニン</t>
    </rPh>
    <phoneticPr fontId="4"/>
  </si>
  <si>
    <t>追加4</t>
    <rPh sb="0" eb="2">
      <t>ツイカ</t>
    </rPh>
    <phoneticPr fontId="4"/>
  </si>
  <si>
    <t>誓約書</t>
    <rPh sb="0" eb="3">
      <t>セイヤクショ</t>
    </rPh>
    <phoneticPr fontId="4"/>
  </si>
  <si>
    <t>行動記録</t>
    <rPh sb="0" eb="2">
      <t>コウドウ</t>
    </rPh>
    <rPh sb="2" eb="4">
      <t>キロク</t>
    </rPh>
    <phoneticPr fontId="4"/>
  </si>
  <si>
    <t>名前重複</t>
    <rPh sb="0" eb="2">
      <t>ナマエ</t>
    </rPh>
    <rPh sb="2" eb="4">
      <t>チョウフク</t>
    </rPh>
    <phoneticPr fontId="4"/>
  </si>
  <si>
    <t>(エントリ数)</t>
    <phoneticPr fontId="4"/>
  </si>
  <si>
    <t>エントリ数</t>
    <rPh sb="4" eb="5">
      <t>スウ</t>
    </rPh>
    <phoneticPr fontId="4"/>
  </si>
  <si>
    <t>登録選手数</t>
    <rPh sb="0" eb="2">
      <t>トウロク</t>
    </rPh>
    <rPh sb="2" eb="4">
      <t>センシュ</t>
    </rPh>
    <rPh sb="4" eb="5">
      <t>スウ</t>
    </rPh>
    <phoneticPr fontId="4"/>
  </si>
  <si>
    <t>プロ</t>
    <phoneticPr fontId="4"/>
  </si>
  <si>
    <t>エントリ可否</t>
    <rPh sb="4" eb="6">
      <t>カヒ</t>
    </rPh>
    <phoneticPr fontId="4"/>
  </si>
  <si>
    <t>エントリ料</t>
    <rPh sb="4" eb="5">
      <t>リョウ</t>
    </rPh>
    <phoneticPr fontId="4"/>
  </si>
  <si>
    <t>種目番号</t>
    <rPh sb="0" eb="2">
      <t>シュモク</t>
    </rPh>
    <rPh sb="2" eb="4">
      <t>バンゴウ</t>
    </rPh>
    <phoneticPr fontId="4"/>
  </si>
  <si>
    <t>出場可否</t>
    <rPh sb="0" eb="2">
      <t>シュツジョウ</t>
    </rPh>
    <rPh sb="2" eb="4">
      <t>カヒ</t>
    </rPh>
    <phoneticPr fontId="4"/>
  </si>
  <si>
    <t>選手
公認
番号</t>
    <rPh sb="0" eb="2">
      <t>センシュ</t>
    </rPh>
    <rPh sb="3" eb="5">
      <t>コウニン</t>
    </rPh>
    <rPh sb="6" eb="8">
      <t>バンゴウ</t>
    </rPh>
    <phoneticPr fontId="4"/>
  </si>
  <si>
    <t>馬匹
公認
番号</t>
    <rPh sb="0" eb="2">
      <t>バヒツ</t>
    </rPh>
    <rPh sb="3" eb="5">
      <t>コウニン</t>
    </rPh>
    <rPh sb="6" eb="8">
      <t>バンゴウ</t>
    </rPh>
    <phoneticPr fontId="4"/>
  </si>
  <si>
    <t>エラー</t>
    <phoneticPr fontId="4"/>
  </si>
  <si>
    <t>選手
区分</t>
    <rPh sb="0" eb="2">
      <t>センシュ</t>
    </rPh>
    <rPh sb="3" eb="5">
      <t>クブン</t>
    </rPh>
    <phoneticPr fontId="4"/>
  </si>
  <si>
    <t>団体
区分</t>
    <rPh sb="0" eb="2">
      <t>ダンタイ</t>
    </rPh>
    <rPh sb="3" eb="5">
      <t>クブン</t>
    </rPh>
    <phoneticPr fontId="4"/>
  </si>
  <si>
    <t>エン
トリ
区分</t>
    <rPh sb="6" eb="8">
      <t>クブン</t>
    </rPh>
    <phoneticPr fontId="4"/>
  </si>
  <si>
    <t>番号重複</t>
    <rPh sb="0" eb="2">
      <t>バンゴウ</t>
    </rPh>
    <rPh sb="2" eb="4">
      <t>チョウフク</t>
    </rPh>
    <phoneticPr fontId="4"/>
  </si>
  <si>
    <t>日馬連重複</t>
    <rPh sb="0" eb="3">
      <t>ニチバレン</t>
    </rPh>
    <rPh sb="3" eb="5">
      <t>チョウフク</t>
    </rPh>
    <phoneticPr fontId="4"/>
  </si>
  <si>
    <t>当日団体責任者(※1)</t>
    <rPh sb="0" eb="2">
      <t>トウジツ</t>
    </rPh>
    <rPh sb="2" eb="4">
      <t>ダンタイ</t>
    </rPh>
    <rPh sb="4" eb="7">
      <t>セキニンシャ</t>
    </rPh>
    <phoneticPr fontId="4"/>
  </si>
  <si>
    <t>団体代表・責任者</t>
    <rPh sb="0" eb="2">
      <t>ダンタイ</t>
    </rPh>
    <rPh sb="2" eb="4">
      <t>ダイヒョウ</t>
    </rPh>
    <rPh sb="5" eb="8">
      <t>セキニンシャ</t>
    </rPh>
    <phoneticPr fontId="4"/>
  </si>
  <si>
    <t>当日</t>
    <rPh sb="0" eb="2">
      <t>トウジツ</t>
    </rPh>
    <phoneticPr fontId="4"/>
  </si>
  <si>
    <t>Version</t>
    <phoneticPr fontId="4"/>
  </si>
  <si>
    <t>頭数</t>
    <rPh sb="0" eb="2">
      <t>トウスウ</t>
    </rPh>
    <phoneticPr fontId="4"/>
  </si>
  <si>
    <t>エントリ料合計</t>
    <rPh sb="4" eb="5">
      <t>リョウ</t>
    </rPh>
    <rPh sb="5" eb="7">
      <t>ゴウケイ</t>
    </rPh>
    <phoneticPr fontId="4"/>
  </si>
  <si>
    <t>馬番号</t>
    <rPh sb="0" eb="1">
      <t>ウマ</t>
    </rPh>
    <rPh sb="1" eb="3">
      <t>バンゴウ</t>
    </rPh>
    <phoneticPr fontId="4"/>
  </si>
  <si>
    <t>基準行</t>
    <rPh sb="0" eb="2">
      <t>キジュン</t>
    </rPh>
    <rPh sb="2" eb="3">
      <t>ギョウ</t>
    </rPh>
    <phoneticPr fontId="4"/>
  </si>
  <si>
    <t>※1 当日団体責任者について、未記入の場合は代表・責任者とします</t>
    <rPh sb="3" eb="5">
      <t>トウジツ</t>
    </rPh>
    <rPh sb="5" eb="7">
      <t>ダンタイ</t>
    </rPh>
    <rPh sb="7" eb="10">
      <t>セキニンシャ</t>
    </rPh>
    <rPh sb="15" eb="18">
      <t>ミキニュウ</t>
    </rPh>
    <rPh sb="19" eb="21">
      <t>バアイ</t>
    </rPh>
    <rPh sb="22" eb="24">
      <t>ダイヒョウ</t>
    </rPh>
    <rPh sb="25" eb="28">
      <t>セキニンシャ</t>
    </rPh>
    <phoneticPr fontId="4"/>
  </si>
  <si>
    <t>通信欄1</t>
    <rPh sb="0" eb="2">
      <t>ツウシン</t>
    </rPh>
    <rPh sb="2" eb="3">
      <t>ラン</t>
    </rPh>
    <phoneticPr fontId="4"/>
  </si>
  <si>
    <t>当日4</t>
    <rPh sb="0" eb="2">
      <t>トウジツ</t>
    </rPh>
    <phoneticPr fontId="4"/>
  </si>
  <si>
    <t>選手数</t>
    <rPh sb="0" eb="2">
      <t>センシュ</t>
    </rPh>
    <rPh sb="2" eb="3">
      <t>スウ</t>
    </rPh>
    <phoneticPr fontId="4"/>
  </si>
  <si>
    <t>カナ重複</t>
    <rPh sb="2" eb="4">
      <t>チョウフク</t>
    </rPh>
    <phoneticPr fontId="4"/>
  </si>
  <si>
    <t>ソート</t>
    <phoneticPr fontId="4"/>
  </si>
  <si>
    <t>順序</t>
    <rPh sb="0" eb="2">
      <t>ジュンジョ</t>
    </rPh>
    <phoneticPr fontId="4"/>
  </si>
  <si>
    <t>キー</t>
    <phoneticPr fontId="4"/>
  </si>
  <si>
    <t>チェック</t>
    <phoneticPr fontId="4"/>
  </si>
  <si>
    <t>リストから選択</t>
    <rPh sb="5" eb="7">
      <t>センタク</t>
    </rPh>
    <phoneticPr fontId="4"/>
  </si>
  <si>
    <t>集約</t>
    <rPh sb="0" eb="2">
      <t>シュウヤク</t>
    </rPh>
    <phoneticPr fontId="4"/>
  </si>
  <si>
    <t>前</t>
    <rPh sb="0" eb="1">
      <t>マエ</t>
    </rPh>
    <phoneticPr fontId="4"/>
  </si>
  <si>
    <t>後</t>
    <rPh sb="0" eb="1">
      <t>ゴ</t>
    </rPh>
    <phoneticPr fontId="4"/>
  </si>
  <si>
    <t>ソート作業用</t>
    <rPh sb="3" eb="6">
      <t>サギョウヨウ</t>
    </rPh>
    <phoneticPr fontId="4"/>
  </si>
  <si>
    <t>参照用</t>
    <rPh sb="0" eb="2">
      <t>サンショウ</t>
    </rPh>
    <rPh sb="2" eb="3">
      <t>ヨウ</t>
    </rPh>
    <phoneticPr fontId="4"/>
  </si>
  <si>
    <t>エントリ
番号</t>
    <rPh sb="5" eb="7">
      <t>バンゴウ</t>
    </rPh>
    <phoneticPr fontId="4"/>
  </si>
  <si>
    <r>
      <t xml:space="preserve">フリガナ
</t>
    </r>
    <r>
      <rPr>
        <sz val="9"/>
        <color theme="1"/>
        <rFont val="游ゴシック"/>
        <family val="3"/>
        <charset val="128"/>
        <scheme val="minor"/>
      </rPr>
      <t>(※馬名がカタカナでも空欄にせず入力してください)</t>
    </r>
    <rPh sb="7" eb="9">
      <t>バメイ</t>
    </rPh>
    <rPh sb="16" eb="18">
      <t>クウラン</t>
    </rPh>
    <rPh sb="21" eb="23">
      <t>ニュウリョク</t>
    </rPh>
    <phoneticPr fontId="4"/>
  </si>
  <si>
    <t>1エントリ
競技時間(秒)</t>
    <rPh sb="6" eb="8">
      <t>キョウギ</t>
    </rPh>
    <rPh sb="8" eb="10">
      <t>ジカン</t>
    </rPh>
    <rPh sb="11" eb="12">
      <t>ビョウ</t>
    </rPh>
    <phoneticPr fontId="4"/>
  </si>
  <si>
    <t>エントリ間
入替時間(秒)</t>
    <rPh sb="4" eb="5">
      <t>カン</t>
    </rPh>
    <rPh sb="6" eb="8">
      <t>イレカエ</t>
    </rPh>
    <rPh sb="8" eb="10">
      <t>ジカン</t>
    </rPh>
    <rPh sb="11" eb="12">
      <t>ビョウ</t>
    </rPh>
    <phoneticPr fontId="4"/>
  </si>
  <si>
    <t>連続
実施数</t>
    <rPh sb="0" eb="2">
      <t>レンゾク</t>
    </rPh>
    <rPh sb="3" eb="5">
      <t>ジッシ</t>
    </rPh>
    <rPh sb="5" eb="6">
      <t>スウ</t>
    </rPh>
    <phoneticPr fontId="4"/>
  </si>
  <si>
    <t>キャロットステークス ホームページ https://www.jbg.jp/carrotstakes</t>
    <phoneticPr fontId="4"/>
  </si>
  <si>
    <t>最新の情報をキャロットステークス ホームページで確認してください。</t>
    <rPh sb="0" eb="2">
      <t>サイシン</t>
    </rPh>
    <rPh sb="3" eb="5">
      <t>ジョウホウ</t>
    </rPh>
    <rPh sb="24" eb="26">
      <t>カクニン</t>
    </rPh>
    <phoneticPr fontId="4"/>
  </si>
  <si>
    <r>
      <t xml:space="preserve">選手名
</t>
    </r>
    <r>
      <rPr>
        <sz val="9"/>
        <color theme="1"/>
        <rFont val="ＭＳ Ｐゴシック"/>
        <family val="3"/>
        <charset val="128"/>
      </rPr>
      <t>(選択できない場合は
選手登録を確認してください)</t>
    </r>
    <rPh sb="0" eb="3">
      <t>センシュメイ</t>
    </rPh>
    <rPh sb="15" eb="17">
      <t>センシュ</t>
    </rPh>
    <phoneticPr fontId="4"/>
  </si>
  <si>
    <r>
      <t xml:space="preserve">所属
</t>
    </r>
    <r>
      <rPr>
        <sz val="9"/>
        <color theme="1"/>
        <rFont val="ＭＳ Ｐゴシック"/>
        <family val="3"/>
        <charset val="128"/>
      </rPr>
      <t>(自動で入ります
変更は選手登録シートで行います)</t>
    </r>
    <rPh sb="0" eb="2">
      <t>ショゾク</t>
    </rPh>
    <rPh sb="4" eb="6">
      <t>ジドウ</t>
    </rPh>
    <rPh sb="7" eb="8">
      <t>ハイ</t>
    </rPh>
    <rPh sb="12" eb="14">
      <t>ヘンコウ</t>
    </rPh>
    <rPh sb="15" eb="17">
      <t>センシュ</t>
    </rPh>
    <rPh sb="17" eb="19">
      <t>トウロク</t>
    </rPh>
    <rPh sb="23" eb="24">
      <t>オコナ</t>
    </rPh>
    <phoneticPr fontId="4"/>
  </si>
  <si>
    <r>
      <t xml:space="preserve">エントリー
区分
</t>
    </r>
    <r>
      <rPr>
        <sz val="9"/>
        <color theme="1"/>
        <rFont val="ＭＳ Ｐゴシック"/>
        <family val="3"/>
        <charset val="128"/>
      </rPr>
      <t>(選択不可は選手登録を確認)</t>
    </r>
    <rPh sb="6" eb="8">
      <t>クブン</t>
    </rPh>
    <rPh sb="10" eb="12">
      <t>センタク</t>
    </rPh>
    <rPh sb="12" eb="14">
      <t>フカ</t>
    </rPh>
    <rPh sb="15" eb="17">
      <t>センシュ</t>
    </rPh>
    <rPh sb="17" eb="19">
      <t>トウロク</t>
    </rPh>
    <rPh sb="20" eb="22">
      <t>カクニン</t>
    </rPh>
    <phoneticPr fontId="4"/>
  </si>
  <si>
    <t>クリーム色の欄を入力してください</t>
    <rPh sb="4" eb="5">
      <t>イロ</t>
    </rPh>
    <rPh sb="6" eb="7">
      <t>ラン</t>
    </rPh>
    <rPh sb="8" eb="10">
      <t>ニュウリョク</t>
    </rPh>
    <phoneticPr fontId="4"/>
  </si>
  <si>
    <r>
      <t xml:space="preserve">馬匹名
</t>
    </r>
    <r>
      <rPr>
        <sz val="9"/>
        <color theme="1"/>
        <rFont val="ＭＳ Ｐゴシック"/>
        <family val="3"/>
        <charset val="128"/>
      </rPr>
      <t>(選択できない場合は
馬匹登録シートを確認してください)</t>
    </r>
    <rPh sb="0" eb="2">
      <t>バヒツ</t>
    </rPh>
    <rPh sb="2" eb="3">
      <t>メイ</t>
    </rPh>
    <rPh sb="5" eb="7">
      <t>センタク</t>
    </rPh>
    <rPh sb="11" eb="13">
      <t>バアイ</t>
    </rPh>
    <rPh sb="15" eb="17">
      <t>バヒツ</t>
    </rPh>
    <rPh sb="17" eb="19">
      <t>トウロク</t>
    </rPh>
    <rPh sb="23" eb="25">
      <t>カクニン</t>
    </rPh>
    <phoneticPr fontId="4"/>
  </si>
  <si>
    <r>
      <t xml:space="preserve">種目名
</t>
    </r>
    <r>
      <rPr>
        <sz val="9"/>
        <color theme="1"/>
        <rFont val="ＭＳ Ｐゴシック"/>
        <family val="3"/>
        <charset val="128"/>
      </rPr>
      <t>(選択後、左の実施日を確認してください)</t>
    </r>
    <rPh sb="0" eb="2">
      <t>シュモク</t>
    </rPh>
    <rPh sb="2" eb="3">
      <t>メイ</t>
    </rPh>
    <rPh sb="5" eb="7">
      <t>センタク</t>
    </rPh>
    <rPh sb="7" eb="8">
      <t>ゴ</t>
    </rPh>
    <rPh sb="9" eb="10">
      <t>ヒダリ</t>
    </rPh>
    <rPh sb="11" eb="14">
      <t>ジッシビ</t>
    </rPh>
    <rPh sb="15" eb="17">
      <t>カクニン</t>
    </rPh>
    <phoneticPr fontId="4"/>
  </si>
  <si>
    <t>クリーム色の欄を
入力してください</t>
    <rPh sb="4" eb="5">
      <t>イロ</t>
    </rPh>
    <rPh sb="6" eb="7">
      <t>ラン</t>
    </rPh>
    <rPh sb="9" eb="11">
      <t>ニュウリョク</t>
    </rPh>
    <phoneticPr fontId="4"/>
  </si>
  <si>
    <r>
      <t xml:space="preserve">所属
</t>
    </r>
    <r>
      <rPr>
        <sz val="9"/>
        <color theme="1"/>
        <rFont val="游ゴシック"/>
        <family val="3"/>
        <charset val="128"/>
        <scheme val="minor"/>
      </rPr>
      <t>(団体名・社馬連団体名)
(追加団体名は団体登録シートで入力)</t>
    </r>
    <rPh sb="0" eb="2">
      <t>ショゾク</t>
    </rPh>
    <rPh sb="4" eb="6">
      <t>ダンタイ</t>
    </rPh>
    <rPh sb="6" eb="7">
      <t>メイ</t>
    </rPh>
    <rPh sb="8" eb="11">
      <t>シャバレン</t>
    </rPh>
    <rPh sb="11" eb="13">
      <t>ダンタイ</t>
    </rPh>
    <rPh sb="13" eb="14">
      <t>メイ</t>
    </rPh>
    <rPh sb="17" eb="19">
      <t>ツイカ</t>
    </rPh>
    <rPh sb="19" eb="21">
      <t>ダンタイ</t>
    </rPh>
    <rPh sb="21" eb="22">
      <t>メイ</t>
    </rPh>
    <rPh sb="23" eb="25">
      <t>ダンタイ</t>
    </rPh>
    <rPh sb="25" eb="27">
      <t>トウロク</t>
    </rPh>
    <rPh sb="31" eb="33">
      <t>ニュウリョク</t>
    </rPh>
    <phoneticPr fontId="4"/>
  </si>
  <si>
    <t>(※大学、高校、団体名など。社馬連団体名の場合は追加不要です)</t>
    <rPh sb="2" eb="4">
      <t>ダイガク</t>
    </rPh>
    <rPh sb="5" eb="7">
      <t>コウコウ</t>
    </rPh>
    <rPh sb="8" eb="10">
      <t>ダンタイ</t>
    </rPh>
    <rPh sb="10" eb="11">
      <t>メイ</t>
    </rPh>
    <rPh sb="14" eb="17">
      <t>シャバレン</t>
    </rPh>
    <rPh sb="17" eb="19">
      <t>ダンタイ</t>
    </rPh>
    <rPh sb="19" eb="20">
      <t>メイ</t>
    </rPh>
    <rPh sb="21" eb="23">
      <t>バアイ</t>
    </rPh>
    <rPh sb="24" eb="26">
      <t>ツイカ</t>
    </rPh>
    <rPh sb="26" eb="28">
      <t>フヨウ</t>
    </rPh>
    <phoneticPr fontId="4"/>
  </si>
  <si>
    <t>Form version:</t>
    <phoneticPr fontId="4"/>
  </si>
  <si>
    <t>オープンなし</t>
  </si>
  <si>
    <t>リスト!$J$2:$J$5</t>
  </si>
  <si>
    <t>リスト!$J$2:$J$2</t>
  </si>
  <si>
    <t>リスト!$J$2:$J$4</t>
  </si>
  <si>
    <t>リスト!$J$3:$J$3</t>
  </si>
  <si>
    <t>リスト!$J$4:$J$4</t>
  </si>
  <si>
    <t>班/公認</t>
    <rPh sb="0" eb="1">
      <t>ハン</t>
    </rPh>
    <rPh sb="2" eb="4">
      <t>コウニン</t>
    </rPh>
    <phoneticPr fontId="4"/>
  </si>
  <si>
    <t>一般オープン</t>
    <rPh sb="0" eb="2">
      <t>イッパン</t>
    </rPh>
    <phoneticPr fontId="4"/>
  </si>
  <si>
    <t>N</t>
    <phoneticPr fontId="4"/>
  </si>
  <si>
    <t>Indirect</t>
    <phoneticPr fontId="4"/>
  </si>
  <si>
    <t>競技設定</t>
    <rPh sb="0" eb="4">
      <t>キョウギセッテイ</t>
    </rPh>
    <phoneticPr fontId="4"/>
  </si>
  <si>
    <t>梅村建工(株)馬術部</t>
  </si>
  <si>
    <t>パナソニック(株)馬術部</t>
  </si>
  <si>
    <t>パナソニックシステムネットワークス(株)馬術部</t>
  </si>
  <si>
    <t>青波馬術愛好会</t>
  </si>
  <si>
    <t>伊藤忠商事(株)相互会乗馬部</t>
  </si>
  <si>
    <t>F.R.C. book farm</t>
  </si>
  <si>
    <t>TMG乗馬同好会</t>
  </si>
  <si>
    <t>中部国際空港馬術部</t>
  </si>
  <si>
    <t>日本知的財産協会馬術部</t>
  </si>
  <si>
    <t>日立グループ馬術部</t>
  </si>
  <si>
    <t>(株)三菱総合研究所馬術部</t>
  </si>
  <si>
    <t>審判
数</t>
    <rPh sb="0" eb="2">
      <t>シンパン</t>
    </rPh>
    <rPh sb="3" eb="4">
      <t>スウ</t>
    </rPh>
    <phoneticPr fontId="4"/>
  </si>
  <si>
    <t>競技場</t>
    <rPh sb="0" eb="3">
      <t>キョウギジョウ</t>
    </rPh>
    <phoneticPr fontId="4"/>
  </si>
  <si>
    <t>第1競技場</t>
  </si>
  <si>
    <t>第1競技場</t>
    <rPh sb="0" eb="1">
      <t>ダイ</t>
    </rPh>
    <rPh sb="2" eb="5">
      <t>キョウギジョウ</t>
    </rPh>
    <phoneticPr fontId="4"/>
  </si>
  <si>
    <t>第1競技場(奥)</t>
    <rPh sb="6" eb="7">
      <t>オク</t>
    </rPh>
    <phoneticPr fontId="4"/>
  </si>
  <si>
    <t>第1競技場(手前)</t>
    <rPh sb="6" eb="8">
      <t>テマエ</t>
    </rPh>
    <phoneticPr fontId="4"/>
  </si>
  <si>
    <t>第2競技場</t>
    <rPh sb="0" eb="1">
      <t>ダイ</t>
    </rPh>
    <rPh sb="2" eb="5">
      <t>キョウギジョウ</t>
    </rPh>
    <phoneticPr fontId="4"/>
  </si>
  <si>
    <t>第2競技場(南)</t>
    <rPh sb="0" eb="1">
      <t>ダイ</t>
    </rPh>
    <rPh sb="2" eb="5">
      <t>キョウギジョウ</t>
    </rPh>
    <rPh sb="6" eb="7">
      <t>ミナミ</t>
    </rPh>
    <phoneticPr fontId="4"/>
  </si>
  <si>
    <t>第2競技場(北)</t>
    <rPh sb="0" eb="1">
      <t>ダイ</t>
    </rPh>
    <rPh sb="2" eb="5">
      <t>キョウギジョウ</t>
    </rPh>
    <rPh sb="6" eb="7">
      <t>キタ</t>
    </rPh>
    <phoneticPr fontId="4"/>
  </si>
  <si>
    <t>第1競技場(グラス)</t>
    <phoneticPr fontId="4"/>
  </si>
  <si>
    <t>屋内競技場</t>
    <rPh sb="0" eb="5">
      <t>オクナイキョウギジョウ</t>
    </rPh>
    <phoneticPr fontId="4"/>
  </si>
  <si>
    <t>アリーナ</t>
    <phoneticPr fontId="4"/>
  </si>
  <si>
    <t>社馬連の方は選手区分・所属で社馬連の団体を指定してください。</t>
  </si>
  <si>
    <t>同姓同名の方がいます。区別できるように記載してください。</t>
  </si>
  <si>
    <t>選手区分、または成年未成年を確認してください。</t>
  </si>
  <si>
    <t>同じ名前の馬がいます。区別できるように記載してください。</t>
  </si>
  <si>
    <t>日馬連登録番号が同じ馬がいます。</t>
  </si>
  <si>
    <t>馬名はカタカナも入力してください。</t>
  </si>
  <si>
    <t>マイクロチップNoが正しくありません。</t>
  </si>
  <si>
    <t>マイクロチップNoが同じ馬がいます。</t>
  </si>
  <si>
    <t>同一人馬で同じ競技に2回以上、エントリーすることはできません。</t>
  </si>
  <si>
    <t>選手と馬匹の公認登録番号を入力してください。</t>
  </si>
  <si>
    <t>エントリー区分が間違っています。</t>
  </si>
  <si>
    <t>この選手はこの競技への出場要件を満たしていません。</t>
  </si>
  <si>
    <t>エントリー区分を選んでください</t>
  </si>
  <si>
    <t>エラーメッセージ</t>
    <phoneticPr fontId="4"/>
  </si>
  <si>
    <t>選手登録</t>
    <rPh sb="0" eb="4">
      <t>センシュトウロク</t>
    </rPh>
    <phoneticPr fontId="4"/>
  </si>
  <si>
    <t>馬匹登録</t>
    <rPh sb="0" eb="4">
      <t>バヒツトウロク</t>
    </rPh>
    <phoneticPr fontId="4"/>
  </si>
  <si>
    <t>エントリー</t>
    <phoneticPr fontId="4"/>
  </si>
  <si>
    <t>2+1</t>
    <phoneticPr fontId="4"/>
  </si>
  <si>
    <t>リスト!$J$6:$J$7</t>
    <phoneticPr fontId="4"/>
  </si>
  <si>
    <t>登録番号
不正</t>
    <rPh sb="0" eb="4">
      <t>トウロクバンゴウ</t>
    </rPh>
    <rPh sb="5" eb="7">
      <t>フセイ</t>
    </rPh>
    <phoneticPr fontId="4"/>
  </si>
  <si>
    <t>チップNo
不正</t>
    <rPh sb="6" eb="8">
      <t>フセイ</t>
    </rPh>
    <phoneticPr fontId="4"/>
  </si>
  <si>
    <t>チップNo</t>
    <phoneticPr fontId="4"/>
  </si>
  <si>
    <t>設定エントリ料区分</t>
    <rPh sb="0" eb="2">
      <t>セッテイ</t>
    </rPh>
    <rPh sb="6" eb="7">
      <t>リョウ</t>
    </rPh>
    <rPh sb="7" eb="9">
      <t>クブン</t>
    </rPh>
    <phoneticPr fontId="4"/>
  </si>
  <si>
    <t>numeric</t>
    <phoneticPr fontId="36"/>
  </si>
  <si>
    <t>国・地域名</t>
  </si>
  <si>
    <t>ISO 3166-1における英語名</t>
  </si>
  <si>
    <t>numeric</t>
  </si>
  <si>
    <t>alpha-3</t>
  </si>
  <si>
    <t>alpha-2</t>
  </si>
  <si>
    <t>場所</t>
  </si>
  <si>
    <t>各行政区分</t>
  </si>
  <si>
    <t>アイスランド</t>
  </si>
  <si>
    <t>Iceland</t>
  </si>
  <si>
    <t>ISL</t>
  </si>
  <si>
    <t>IS</t>
  </si>
  <si>
    <t>北ヨーロッパ</t>
  </si>
  <si>
    <t>ISO 3166-2:IS</t>
  </si>
  <si>
    <t>アイルランド</t>
  </si>
  <si>
    <t>Ireland</t>
  </si>
  <si>
    <t>IRL</t>
  </si>
  <si>
    <t>IE</t>
  </si>
  <si>
    <t>西ヨーロッパ</t>
  </si>
  <si>
    <t>ISO 3166-2:IE</t>
  </si>
  <si>
    <t>アゼルバイジャン</t>
  </si>
  <si>
    <t>Azerbaijan</t>
  </si>
  <si>
    <t>AZE</t>
  </si>
  <si>
    <t>AZ</t>
  </si>
  <si>
    <t>東ヨーロッパ</t>
  </si>
  <si>
    <t>ISO 3166-2:AZ</t>
  </si>
  <si>
    <t>アフガニスタン</t>
  </si>
  <si>
    <t>Afghanistan</t>
  </si>
  <si>
    <t>AFG</t>
  </si>
  <si>
    <t>AF</t>
  </si>
  <si>
    <t>中東</t>
  </si>
  <si>
    <t>ISO 3166-2:AF</t>
  </si>
  <si>
    <t>アメリカ合衆国</t>
  </si>
  <si>
    <t>United States of America</t>
  </si>
  <si>
    <t>USA</t>
  </si>
  <si>
    <t>US</t>
  </si>
  <si>
    <t>北アメリカ</t>
  </si>
  <si>
    <t>ISO 3166-2:US</t>
  </si>
  <si>
    <t>アメリカ領ヴァージン諸島</t>
  </si>
  <si>
    <t>Virgin Islands (U.S.)</t>
  </si>
  <si>
    <t>VIR</t>
  </si>
  <si>
    <t>VI</t>
  </si>
  <si>
    <t>中央アメリカ</t>
  </si>
  <si>
    <t>ISO 3166-2:VI</t>
  </si>
  <si>
    <t>アメリカ領サモア</t>
  </si>
  <si>
    <t>American Samoa</t>
  </si>
  <si>
    <t>ASM</t>
  </si>
  <si>
    <t>AS</t>
  </si>
  <si>
    <t>オセアニア</t>
  </si>
  <si>
    <t>ISO 3166-2:AS</t>
  </si>
  <si>
    <t>アラブ首長国連邦</t>
  </si>
  <si>
    <t>United Arab Emirates</t>
  </si>
  <si>
    <t>ARE</t>
  </si>
  <si>
    <t>AE</t>
  </si>
  <si>
    <t>ISO 3166-2:AE</t>
  </si>
  <si>
    <t>アルジェリア</t>
  </si>
  <si>
    <t>Algeria</t>
  </si>
  <si>
    <t>DZA</t>
  </si>
  <si>
    <t>DZ</t>
  </si>
  <si>
    <t>北アフリカ</t>
  </si>
  <si>
    <t>ISO 3166-2:DZ</t>
  </si>
  <si>
    <t>アルゼンチン</t>
  </si>
  <si>
    <t>Argentina</t>
  </si>
  <si>
    <t>ARG</t>
  </si>
  <si>
    <t>AR</t>
  </si>
  <si>
    <t>南アメリカ</t>
  </si>
  <si>
    <t>ISO 3166-2:AR</t>
  </si>
  <si>
    <t>アルバ</t>
  </si>
  <si>
    <t>Aruba</t>
  </si>
  <si>
    <t>ABW</t>
  </si>
  <si>
    <t>AW</t>
  </si>
  <si>
    <t>ISO 3166-2:AW</t>
  </si>
  <si>
    <t>アルバニア</t>
  </si>
  <si>
    <t>Albania</t>
  </si>
  <si>
    <t>ALB</t>
  </si>
  <si>
    <t>AL</t>
  </si>
  <si>
    <t>ISO 3166-2:AL</t>
  </si>
  <si>
    <t>アルメニア</t>
  </si>
  <si>
    <t>Armenia</t>
  </si>
  <si>
    <t>ARM</t>
  </si>
  <si>
    <t>AM</t>
  </si>
  <si>
    <t>ISO 3166-2:AM</t>
  </si>
  <si>
    <t>アンギラ</t>
  </si>
  <si>
    <t>Anguilla</t>
  </si>
  <si>
    <t>AIA</t>
  </si>
  <si>
    <t>AI</t>
  </si>
  <si>
    <t>ISO 3166-2:AI</t>
  </si>
  <si>
    <t>アンゴラ</t>
  </si>
  <si>
    <t>Angola</t>
  </si>
  <si>
    <t>AGO</t>
  </si>
  <si>
    <t>AO</t>
  </si>
  <si>
    <t>南アフリカ</t>
  </si>
  <si>
    <t>ISO 3166-2:AO</t>
  </si>
  <si>
    <t>アンティグア・バーブーダ</t>
  </si>
  <si>
    <t>Antigua and Barbuda</t>
  </si>
  <si>
    <t>ATG</t>
  </si>
  <si>
    <t>AG</t>
  </si>
  <si>
    <t>ISO 3166-2:AG</t>
  </si>
  <si>
    <t>アンドラ</t>
  </si>
  <si>
    <t>Andorra</t>
  </si>
  <si>
    <t>AND</t>
  </si>
  <si>
    <t>AD</t>
  </si>
  <si>
    <t>ISO 3166-2:AD</t>
  </si>
  <si>
    <t>イエメン</t>
  </si>
  <si>
    <t>Yemen</t>
  </si>
  <si>
    <t>YEM</t>
  </si>
  <si>
    <t>YE</t>
  </si>
  <si>
    <t>ISO 3166-2:YE</t>
  </si>
  <si>
    <t>イギリス</t>
  </si>
  <si>
    <t>United Kingdom of Great Britain and Northern Ireland</t>
  </si>
  <si>
    <t>GBR</t>
  </si>
  <si>
    <t>GB</t>
  </si>
  <si>
    <t>ISO 3166-2:GB</t>
  </si>
  <si>
    <t>イギリス領インド洋地域</t>
  </si>
  <si>
    <t>British Indian Ocean Territory</t>
  </si>
  <si>
    <t>IOT</t>
  </si>
  <si>
    <t>IO</t>
  </si>
  <si>
    <t>インド洋地域</t>
  </si>
  <si>
    <t>ISO 3166-2:IO</t>
  </si>
  <si>
    <t>イギリス領ヴァージン諸島</t>
  </si>
  <si>
    <t>Virgin Islands (British)</t>
  </si>
  <si>
    <t>VGB</t>
  </si>
  <si>
    <t>VG</t>
  </si>
  <si>
    <t>ISO 3166-2:VG</t>
  </si>
  <si>
    <t>イスラエル</t>
  </si>
  <si>
    <t>Israel</t>
  </si>
  <si>
    <t>ISR</t>
  </si>
  <si>
    <t>IL</t>
  </si>
  <si>
    <t>ISO 3166-2:IL</t>
  </si>
  <si>
    <t>イタリア</t>
  </si>
  <si>
    <t>Italy</t>
  </si>
  <si>
    <t>ITA</t>
  </si>
  <si>
    <t>IT</t>
  </si>
  <si>
    <t>ISO 3166-2:IT</t>
  </si>
  <si>
    <t>イラク</t>
  </si>
  <si>
    <t>Iraq</t>
  </si>
  <si>
    <t>IRQ</t>
  </si>
  <si>
    <t>IQ</t>
  </si>
  <si>
    <t>ISO 3166-2:IQ</t>
  </si>
  <si>
    <t>イラン・イスラム共和国</t>
  </si>
  <si>
    <t>Iran (Islamic Republic of)</t>
  </si>
  <si>
    <t>IRN</t>
  </si>
  <si>
    <t>IR</t>
  </si>
  <si>
    <t>ISO 3166-2:IR</t>
  </si>
  <si>
    <t>インド</t>
  </si>
  <si>
    <t>India</t>
  </si>
  <si>
    <t>IND</t>
  </si>
  <si>
    <t>IN</t>
  </si>
  <si>
    <t>南アジア</t>
  </si>
  <si>
    <t>ISO 3166-2:IN</t>
  </si>
  <si>
    <t>インドネシア</t>
  </si>
  <si>
    <t>Indonesia</t>
  </si>
  <si>
    <t>IDN</t>
  </si>
  <si>
    <t>ID</t>
  </si>
  <si>
    <t>東南アジア</t>
  </si>
  <si>
    <t>ISO 3166-2:ID</t>
  </si>
  <si>
    <t>ウォリス・フツナ</t>
  </si>
  <si>
    <t>Wallis and Futuna</t>
  </si>
  <si>
    <t>WLF</t>
  </si>
  <si>
    <t>WF</t>
  </si>
  <si>
    <t>ISO 3166-2:WF</t>
  </si>
  <si>
    <t>ウガンダ</t>
  </si>
  <si>
    <t>Uganda</t>
  </si>
  <si>
    <t>UGA</t>
  </si>
  <si>
    <t>UG</t>
  </si>
  <si>
    <t>中央アフリカ</t>
  </si>
  <si>
    <t>ISO 3166-2:UG</t>
  </si>
  <si>
    <t>ウクライナ</t>
  </si>
  <si>
    <t>Ukraine</t>
  </si>
  <si>
    <t>UKR</t>
  </si>
  <si>
    <t>UA</t>
  </si>
  <si>
    <t>ISO 3166-2:UA</t>
  </si>
  <si>
    <t>ウズベキスタン</t>
  </si>
  <si>
    <t>Uzbekistan</t>
  </si>
  <si>
    <t>UZB</t>
  </si>
  <si>
    <t>UZ</t>
  </si>
  <si>
    <t>中央アジア</t>
  </si>
  <si>
    <t>ISO 3166-2:UZ</t>
  </si>
  <si>
    <t>ウルグアイ</t>
  </si>
  <si>
    <t>Uruguay</t>
  </si>
  <si>
    <t>URY</t>
  </si>
  <si>
    <t>UY</t>
  </si>
  <si>
    <t>ISO 3166-2:UY</t>
  </si>
  <si>
    <t>エクアドル</t>
  </si>
  <si>
    <t>Ecuador</t>
  </si>
  <si>
    <t>ECU</t>
  </si>
  <si>
    <t>EC</t>
  </si>
  <si>
    <t>ISO 3166-2:EC</t>
  </si>
  <si>
    <t>エジプト</t>
  </si>
  <si>
    <t>Egypt</t>
  </si>
  <si>
    <t>EGY</t>
  </si>
  <si>
    <t>EG</t>
  </si>
  <si>
    <t>ISO 3166-2:EG</t>
  </si>
  <si>
    <t>エストニア</t>
  </si>
  <si>
    <t>Estonia</t>
  </si>
  <si>
    <t>EST</t>
  </si>
  <si>
    <t>EE</t>
  </si>
  <si>
    <t>ISO 3166-2:EE</t>
  </si>
  <si>
    <t>エスワティニ</t>
  </si>
  <si>
    <t>Eswatini</t>
  </si>
  <si>
    <t>SWZ</t>
  </si>
  <si>
    <t>SZ</t>
  </si>
  <si>
    <t>ISO 3166-2:SZ</t>
  </si>
  <si>
    <t>エチオピア</t>
  </si>
  <si>
    <t>Ethiopia</t>
  </si>
  <si>
    <t>ETH</t>
  </si>
  <si>
    <t>ET</t>
  </si>
  <si>
    <t>東アフリカ</t>
  </si>
  <si>
    <t>ISO 3166-2:ET</t>
  </si>
  <si>
    <t>エリトリア</t>
  </si>
  <si>
    <t>Eritrea</t>
  </si>
  <si>
    <t>ERI</t>
  </si>
  <si>
    <t>ER</t>
  </si>
  <si>
    <t>ISO 3166-2:ER</t>
  </si>
  <si>
    <t>エルサルバドル</t>
  </si>
  <si>
    <t>El Salvador</t>
  </si>
  <si>
    <t>SLV</t>
  </si>
  <si>
    <t>SV</t>
  </si>
  <si>
    <t>ISO 3166-2:SV</t>
  </si>
  <si>
    <t>オーストラリア</t>
  </si>
  <si>
    <t>Australia</t>
  </si>
  <si>
    <t>AUS</t>
  </si>
  <si>
    <t>AU</t>
  </si>
  <si>
    <t>ISO 3166-2:AU</t>
  </si>
  <si>
    <t>オーストリア</t>
  </si>
  <si>
    <t>Austria</t>
  </si>
  <si>
    <t>AUT</t>
  </si>
  <si>
    <t>AT</t>
  </si>
  <si>
    <t>ISO 3166-2:AT</t>
  </si>
  <si>
    <t>オーランド諸島</t>
  </si>
  <si>
    <t>Åland Islands</t>
  </si>
  <si>
    <t>ALA</t>
  </si>
  <si>
    <t>AX</t>
  </si>
  <si>
    <t>ISO 3166-2:AX</t>
  </si>
  <si>
    <t>オマーン</t>
  </si>
  <si>
    <t>Oman</t>
  </si>
  <si>
    <t>OMN</t>
  </si>
  <si>
    <t>OM</t>
  </si>
  <si>
    <t>ISO 3166-2:OM</t>
  </si>
  <si>
    <t>オランダ</t>
  </si>
  <si>
    <t>Netherlands</t>
  </si>
  <si>
    <t>NLD</t>
  </si>
  <si>
    <t>NL</t>
  </si>
  <si>
    <t>ISO 3166-2:NL</t>
  </si>
  <si>
    <t>ガーナ</t>
  </si>
  <si>
    <t>Ghana</t>
  </si>
  <si>
    <t>GHA</t>
  </si>
  <si>
    <t>GH</t>
  </si>
  <si>
    <t>西アフリカ</t>
  </si>
  <si>
    <t>ISO 3166-2:GH</t>
  </si>
  <si>
    <t>カーボベルデ</t>
  </si>
  <si>
    <t>Cabo Verde</t>
  </si>
  <si>
    <t>CPV</t>
  </si>
  <si>
    <t>CV</t>
  </si>
  <si>
    <t>ISO 3166-2:CV</t>
  </si>
  <si>
    <t>ガーンジー</t>
  </si>
  <si>
    <t>Guernsey</t>
  </si>
  <si>
    <t>GGY</t>
  </si>
  <si>
    <t>GG</t>
  </si>
  <si>
    <t>ISO 3166-2:GG</t>
  </si>
  <si>
    <t>ガイアナ</t>
  </si>
  <si>
    <t>Guyana</t>
  </si>
  <si>
    <t>GUY</t>
  </si>
  <si>
    <t>GY</t>
  </si>
  <si>
    <t>ISO 3166-2:GY</t>
  </si>
  <si>
    <t>カザフスタン</t>
  </si>
  <si>
    <t>Kazakhstan</t>
  </si>
  <si>
    <t>KAZ</t>
  </si>
  <si>
    <t>KZ</t>
  </si>
  <si>
    <t>ISO 3166-2:KZ</t>
  </si>
  <si>
    <t>カタール</t>
  </si>
  <si>
    <t>Qatar</t>
  </si>
  <si>
    <t>QAT</t>
  </si>
  <si>
    <t>QA</t>
  </si>
  <si>
    <t>ISO 3166-2:QA</t>
  </si>
  <si>
    <t>合衆国領有小離島</t>
  </si>
  <si>
    <t>United States Minor Outlying Islands</t>
  </si>
  <si>
    <t>UMI</t>
  </si>
  <si>
    <t>UM</t>
  </si>
  <si>
    <t>ISO 3166-2:UM</t>
  </si>
  <si>
    <t>カナダ</t>
  </si>
  <si>
    <t>Canada</t>
  </si>
  <si>
    <t>CAN</t>
  </si>
  <si>
    <t>CA</t>
  </si>
  <si>
    <t>ISO 3166-2:CA</t>
  </si>
  <si>
    <t>ガボン</t>
  </si>
  <si>
    <t>Gabon</t>
  </si>
  <si>
    <t>GAB</t>
  </si>
  <si>
    <t>GA</t>
  </si>
  <si>
    <t>ISO 3166-2:GA</t>
  </si>
  <si>
    <t>カメルーン</t>
  </si>
  <si>
    <t>Cameroon</t>
  </si>
  <si>
    <t>CMR</t>
  </si>
  <si>
    <t>CM</t>
  </si>
  <si>
    <t>ISO 3166-2:CM</t>
  </si>
  <si>
    <t>ガンビア</t>
  </si>
  <si>
    <t>Gambia</t>
  </si>
  <si>
    <t>GMB</t>
  </si>
  <si>
    <t>GM</t>
  </si>
  <si>
    <t>ISO 3166-2:GM</t>
  </si>
  <si>
    <t>カンボジア</t>
  </si>
  <si>
    <t>Cambodia</t>
  </si>
  <si>
    <t>KHM</t>
  </si>
  <si>
    <t>KH</t>
  </si>
  <si>
    <t>ISO 3166-2:KH</t>
  </si>
  <si>
    <t>北マケドニア</t>
  </si>
  <si>
    <t>North Macedonia</t>
  </si>
  <si>
    <t>MKD</t>
  </si>
  <si>
    <t>MK</t>
  </si>
  <si>
    <t>ISO 3166-2:MK</t>
  </si>
  <si>
    <t>北マリアナ諸島</t>
  </si>
  <si>
    <t>Northern Mariana Islands</t>
  </si>
  <si>
    <t>MNP</t>
  </si>
  <si>
    <t>MP</t>
  </si>
  <si>
    <t>ISO 3166-2:MP</t>
  </si>
  <si>
    <t>ギニア</t>
  </si>
  <si>
    <t>Guinea</t>
  </si>
  <si>
    <t>GIN</t>
  </si>
  <si>
    <t>GN</t>
  </si>
  <si>
    <t>ISO 3166-2:GN</t>
  </si>
  <si>
    <t>ギニアビサウ</t>
  </si>
  <si>
    <t>Guinea-Bissau</t>
  </si>
  <si>
    <t>GNB</t>
  </si>
  <si>
    <t>GW</t>
  </si>
  <si>
    <t>ISO 3166-2:GW</t>
  </si>
  <si>
    <t>キプロス</t>
  </si>
  <si>
    <t>Cyprus</t>
  </si>
  <si>
    <t>CYP</t>
  </si>
  <si>
    <t>CY</t>
  </si>
  <si>
    <t>地中海地域</t>
  </si>
  <si>
    <t>ISO 3166-2:CY</t>
  </si>
  <si>
    <t>キューバ</t>
  </si>
  <si>
    <t>Cuba</t>
  </si>
  <si>
    <t>CUB</t>
  </si>
  <si>
    <t>CU</t>
  </si>
  <si>
    <t>ISO 3166-2:CU</t>
  </si>
  <si>
    <t>キュラソー</t>
  </si>
  <si>
    <t>Curaçao</t>
  </si>
  <si>
    <t>CUW</t>
  </si>
  <si>
    <t>CW</t>
  </si>
  <si>
    <t>ISO 3166-2:CW</t>
  </si>
  <si>
    <t>ギリシャ</t>
  </si>
  <si>
    <t>Greece</t>
  </si>
  <si>
    <t>GRC</t>
  </si>
  <si>
    <t>GR</t>
  </si>
  <si>
    <t>ISO 3166-2:GR</t>
  </si>
  <si>
    <t>キリバス</t>
  </si>
  <si>
    <t>Kiribati</t>
  </si>
  <si>
    <t>KIR</t>
  </si>
  <si>
    <t>KI</t>
  </si>
  <si>
    <t>ISO 3166-2:KI</t>
  </si>
  <si>
    <t>キルギス</t>
  </si>
  <si>
    <t>Kyrgyzstan</t>
  </si>
  <si>
    <t>KGZ</t>
  </si>
  <si>
    <t>KG</t>
  </si>
  <si>
    <t>ISO 3166-2:KG</t>
  </si>
  <si>
    <t>グアテマラ</t>
  </si>
  <si>
    <t>Guatemala</t>
  </si>
  <si>
    <t>GTM</t>
  </si>
  <si>
    <t>GT</t>
  </si>
  <si>
    <t>ISO 3166-2:GT</t>
  </si>
  <si>
    <t>グアドループ</t>
  </si>
  <si>
    <t>Guadeloupe</t>
  </si>
  <si>
    <t>GLP</t>
  </si>
  <si>
    <t>GP</t>
  </si>
  <si>
    <t>ISO 3166-2:GP</t>
  </si>
  <si>
    <t>グアム</t>
  </si>
  <si>
    <t>Guam</t>
  </si>
  <si>
    <t>GUM</t>
  </si>
  <si>
    <t>GU</t>
  </si>
  <si>
    <t>ISO 3166-2:GU</t>
  </si>
  <si>
    <t>クウェート</t>
  </si>
  <si>
    <t>Kuwait</t>
  </si>
  <si>
    <t>KWT</t>
  </si>
  <si>
    <t>KW</t>
  </si>
  <si>
    <t>ISO 3166-2:KW</t>
  </si>
  <si>
    <t>クック諸島</t>
  </si>
  <si>
    <t>Cook Islands</t>
  </si>
  <si>
    <t>COK</t>
  </si>
  <si>
    <t>CK</t>
  </si>
  <si>
    <t>ISO 3166-2:CK</t>
  </si>
  <si>
    <t>グリーンランド</t>
  </si>
  <si>
    <t>Greenland</t>
  </si>
  <si>
    <t>GRL</t>
  </si>
  <si>
    <t>GL</t>
  </si>
  <si>
    <t>ISO 3166-2:GL</t>
  </si>
  <si>
    <t>クリスマス島</t>
  </si>
  <si>
    <t>Christmas Island</t>
  </si>
  <si>
    <t>CXR</t>
  </si>
  <si>
    <t>CX</t>
  </si>
  <si>
    <t>ISO 3166-2:CX</t>
  </si>
  <si>
    <t>グレナダ</t>
  </si>
  <si>
    <t>Grenada</t>
  </si>
  <si>
    <t>GRD</t>
  </si>
  <si>
    <t>GD</t>
  </si>
  <si>
    <t>ISO 3166-2:GD</t>
  </si>
  <si>
    <t>クロアチア</t>
  </si>
  <si>
    <t>Croatia</t>
  </si>
  <si>
    <t>HRV</t>
  </si>
  <si>
    <t>HR</t>
  </si>
  <si>
    <t>ISO 3166-2:HR</t>
  </si>
  <si>
    <t>ケイマン諸島</t>
  </si>
  <si>
    <t>Cayman Islands</t>
  </si>
  <si>
    <t>CYM</t>
  </si>
  <si>
    <t>KY</t>
  </si>
  <si>
    <t>ISO 3166-2:KY</t>
  </si>
  <si>
    <t>ケニア</t>
  </si>
  <si>
    <t>Kenya</t>
  </si>
  <si>
    <t>KEN</t>
  </si>
  <si>
    <t>KE</t>
  </si>
  <si>
    <t>ISO 3166-2:KE</t>
  </si>
  <si>
    <t>コートジボワール</t>
  </si>
  <si>
    <t>Côte d'Ivoire</t>
  </si>
  <si>
    <t>CIV</t>
  </si>
  <si>
    <t>CI</t>
  </si>
  <si>
    <t>ISO 3166-2:CI</t>
  </si>
  <si>
    <t>ココス（キーリング）諸島</t>
  </si>
  <si>
    <t>Cocos (Keeling) Islands</t>
  </si>
  <si>
    <t>CCK</t>
  </si>
  <si>
    <t>CC</t>
  </si>
  <si>
    <t>ISO 3166-2:CC</t>
  </si>
  <si>
    <t>コスタリカ</t>
  </si>
  <si>
    <t>Costa Rica</t>
  </si>
  <si>
    <t>CRI</t>
  </si>
  <si>
    <t>CR</t>
  </si>
  <si>
    <t>ISO 3166-2:CR</t>
  </si>
  <si>
    <t>コモロ</t>
  </si>
  <si>
    <t>Comoros</t>
  </si>
  <si>
    <t>COM</t>
  </si>
  <si>
    <t>KM</t>
  </si>
  <si>
    <t>ISO 3166-2:KM</t>
  </si>
  <si>
    <t>コロンビア</t>
  </si>
  <si>
    <t>Colombia</t>
  </si>
  <si>
    <t>COL</t>
  </si>
  <si>
    <t>CO</t>
  </si>
  <si>
    <t>ISO 3166-2:CO</t>
  </si>
  <si>
    <t>コンゴ共和国</t>
  </si>
  <si>
    <t>Congo</t>
  </si>
  <si>
    <t>COG</t>
  </si>
  <si>
    <t>CG</t>
  </si>
  <si>
    <t>ISO 3166-2:CG</t>
  </si>
  <si>
    <t>コンゴ民主共和国</t>
  </si>
  <si>
    <t>Congo, Democratic Republic of the</t>
  </si>
  <si>
    <t>COD</t>
  </si>
  <si>
    <t>CD</t>
  </si>
  <si>
    <t>ISO 3166-2:CD</t>
  </si>
  <si>
    <t>サウジアラビア</t>
  </si>
  <si>
    <t>Saudi Arabia</t>
  </si>
  <si>
    <t>SAU</t>
  </si>
  <si>
    <t>SA</t>
  </si>
  <si>
    <t>ISO 3166-2:SA</t>
  </si>
  <si>
    <t>サウスジョージア・サウスサンドウィッチ諸島</t>
  </si>
  <si>
    <t>South Georgia and the South Sandwich Islands</t>
  </si>
  <si>
    <t>SGS</t>
  </si>
  <si>
    <t>GS</t>
  </si>
  <si>
    <t>ISO 3166-2:GS</t>
  </si>
  <si>
    <t>サモア</t>
  </si>
  <si>
    <t>Samoa</t>
  </si>
  <si>
    <t>WSM</t>
  </si>
  <si>
    <t>WS</t>
  </si>
  <si>
    <t>ISO 3166-2:WS</t>
  </si>
  <si>
    <t>サントメ・プリンシペ</t>
  </si>
  <si>
    <t>Sao Tome and Principe</t>
  </si>
  <si>
    <t>STP</t>
  </si>
  <si>
    <t>ST</t>
  </si>
  <si>
    <t>ISO 3166-2:ST</t>
  </si>
  <si>
    <t>サン・バルテルミー</t>
  </si>
  <si>
    <t>Saint Barthélemy</t>
  </si>
  <si>
    <t>BLM</t>
  </si>
  <si>
    <t>BL</t>
  </si>
  <si>
    <t>ISO 3166-2:BL</t>
  </si>
  <si>
    <t>ザンビア</t>
  </si>
  <si>
    <t>Zambia</t>
  </si>
  <si>
    <t>ZMB</t>
  </si>
  <si>
    <t>ZM</t>
  </si>
  <si>
    <t>ISO 3166-2:ZM</t>
  </si>
  <si>
    <t>サンピエール島・ミクロン島</t>
  </si>
  <si>
    <t>Saint Pierre and Miquelon</t>
  </si>
  <si>
    <t>SPM</t>
  </si>
  <si>
    <t>PM</t>
  </si>
  <si>
    <t>ISO 3166-2:PM</t>
  </si>
  <si>
    <t>サンマリノ</t>
  </si>
  <si>
    <t>San Marino</t>
  </si>
  <si>
    <t>SMR</t>
  </si>
  <si>
    <t>SM</t>
  </si>
  <si>
    <t>ISO 3166-2:SM</t>
  </si>
  <si>
    <t>サン・マルタン（フランス領）</t>
  </si>
  <si>
    <t>Saint Martin (French part)</t>
  </si>
  <si>
    <t>MAF</t>
  </si>
  <si>
    <t>MF</t>
  </si>
  <si>
    <t>ISO 3166-2:MF</t>
  </si>
  <si>
    <t>シエラレオネ</t>
  </si>
  <si>
    <t>Sierra Leone</t>
  </si>
  <si>
    <t>SLE</t>
  </si>
  <si>
    <t>SL</t>
  </si>
  <si>
    <t>ISO 3166-2:SL</t>
  </si>
  <si>
    <t>ジブチ</t>
  </si>
  <si>
    <t>Djibouti</t>
  </si>
  <si>
    <t>DJI</t>
  </si>
  <si>
    <t>DJ</t>
  </si>
  <si>
    <t>ISO 3166-2:DJ</t>
  </si>
  <si>
    <t>ジブラルタル</t>
  </si>
  <si>
    <t>Gibraltar</t>
  </si>
  <si>
    <t>GIB</t>
  </si>
  <si>
    <t>GI</t>
  </si>
  <si>
    <t>ISO 3166-2:GI</t>
  </si>
  <si>
    <t>ジャージー</t>
  </si>
  <si>
    <t>Jersey</t>
  </si>
  <si>
    <t>JEY</t>
  </si>
  <si>
    <t>JE</t>
  </si>
  <si>
    <t>ISO 3166-2:JE</t>
  </si>
  <si>
    <t>ジャマイカ</t>
  </si>
  <si>
    <t>Jamaica</t>
  </si>
  <si>
    <t>JAM</t>
  </si>
  <si>
    <t>JM</t>
  </si>
  <si>
    <t>ISO 3166-2:JM</t>
  </si>
  <si>
    <t>ジョージア</t>
  </si>
  <si>
    <t>Georgia</t>
  </si>
  <si>
    <t>GEO</t>
  </si>
  <si>
    <t>GE</t>
  </si>
  <si>
    <t>ISO 3166-2:GE</t>
  </si>
  <si>
    <t>シリア・アラブ共和国</t>
  </si>
  <si>
    <t>Syrian Arab Republic</t>
  </si>
  <si>
    <t>SYR</t>
  </si>
  <si>
    <t>SY</t>
  </si>
  <si>
    <t>ISO 3166-2:SY</t>
  </si>
  <si>
    <t>シンガポール</t>
  </si>
  <si>
    <t>Singapore</t>
  </si>
  <si>
    <t>SGP</t>
  </si>
  <si>
    <t>SG</t>
  </si>
  <si>
    <t>ISO 3166-2:SG</t>
  </si>
  <si>
    <t>シント・マールテン（オランダ領）</t>
  </si>
  <si>
    <t>Sint Maarten (Dutch part)</t>
  </si>
  <si>
    <t>SXM</t>
  </si>
  <si>
    <t>SX</t>
  </si>
  <si>
    <t>ISO 3166-2:SX</t>
  </si>
  <si>
    <t>ジンバブエ</t>
  </si>
  <si>
    <t>Zimbabwe</t>
  </si>
  <si>
    <t>ZWE</t>
  </si>
  <si>
    <t>ZW</t>
  </si>
  <si>
    <t>ISO 3166-2:ZW</t>
  </si>
  <si>
    <t>スイス</t>
  </si>
  <si>
    <t>Switzerland</t>
  </si>
  <si>
    <t>CHE</t>
  </si>
  <si>
    <t>CH</t>
  </si>
  <si>
    <t>ISO 3166-2:CH</t>
  </si>
  <si>
    <t>スウェーデン</t>
  </si>
  <si>
    <t>Sweden</t>
  </si>
  <si>
    <t>SWE</t>
  </si>
  <si>
    <t>SE</t>
  </si>
  <si>
    <t>ISO 3166-2:SE</t>
  </si>
  <si>
    <t>スーダン</t>
  </si>
  <si>
    <t>Sudan</t>
  </si>
  <si>
    <t>SDN</t>
  </si>
  <si>
    <t>SD</t>
  </si>
  <si>
    <t>ISO 3166-2:SD</t>
  </si>
  <si>
    <t>スヴァールバル諸島およびヤンマイエン島</t>
  </si>
  <si>
    <t>Svalbard and Jan Mayen</t>
  </si>
  <si>
    <t>SJM</t>
  </si>
  <si>
    <t>SJ</t>
  </si>
  <si>
    <t>ISO 3166-2:SJ</t>
  </si>
  <si>
    <t>スペイン</t>
  </si>
  <si>
    <t>Spain</t>
  </si>
  <si>
    <t>ESP</t>
  </si>
  <si>
    <t>ES</t>
  </si>
  <si>
    <t>ISO 3166-2:ES</t>
  </si>
  <si>
    <t>スリナム</t>
  </si>
  <si>
    <t>Suriname</t>
  </si>
  <si>
    <t>SUR</t>
  </si>
  <si>
    <t>SR</t>
  </si>
  <si>
    <t>ISO 3166-2:SR</t>
  </si>
  <si>
    <t>スリランカ</t>
  </si>
  <si>
    <t>Sri Lanka</t>
  </si>
  <si>
    <t>LKA</t>
  </si>
  <si>
    <t>LK</t>
  </si>
  <si>
    <t>ISO 3166-2:LK</t>
  </si>
  <si>
    <t>スロバキア</t>
  </si>
  <si>
    <t>Slovakia</t>
  </si>
  <si>
    <t>SVK</t>
  </si>
  <si>
    <t>SK</t>
  </si>
  <si>
    <t>ISO 3166-2:SK</t>
  </si>
  <si>
    <t>スロベニア</t>
  </si>
  <si>
    <t>Slovenia</t>
  </si>
  <si>
    <t>SVN</t>
  </si>
  <si>
    <t>SI</t>
  </si>
  <si>
    <t>ISO 3166-2:SI</t>
  </si>
  <si>
    <t>セーシェル</t>
  </si>
  <si>
    <t>Seychelles</t>
  </si>
  <si>
    <t>SYC</t>
  </si>
  <si>
    <t>SC</t>
  </si>
  <si>
    <t>ISO 3166-2:SC</t>
  </si>
  <si>
    <t>赤道ギニア</t>
  </si>
  <si>
    <t>Equatorial Guinea</t>
  </si>
  <si>
    <t>GNQ</t>
  </si>
  <si>
    <t>GQ</t>
  </si>
  <si>
    <t>ISO 3166-2:GQ</t>
  </si>
  <si>
    <t>セネガル</t>
  </si>
  <si>
    <t>Senegal</t>
  </si>
  <si>
    <t>SEN</t>
  </si>
  <si>
    <t>SN</t>
  </si>
  <si>
    <t>ISO 3166-2:SN</t>
  </si>
  <si>
    <t>セルビア</t>
  </si>
  <si>
    <t>Serbia</t>
  </si>
  <si>
    <t>SRB</t>
  </si>
  <si>
    <t>RS</t>
  </si>
  <si>
    <t>ISO 3166-2:RS</t>
  </si>
  <si>
    <t>セントクリストファー・ネイビス</t>
  </si>
  <si>
    <t>Saint Kitts and Nevis</t>
  </si>
  <si>
    <t>KNA</t>
  </si>
  <si>
    <t>KN</t>
  </si>
  <si>
    <t>ISO 3166-2:KN</t>
  </si>
  <si>
    <t>セントビンセントおよびグレナディーン諸島</t>
  </si>
  <si>
    <t>Saint Vincent and the Grenadines</t>
  </si>
  <si>
    <t>VCT</t>
  </si>
  <si>
    <t>VC</t>
  </si>
  <si>
    <t>ISO 3166-2:VC</t>
  </si>
  <si>
    <t>セントヘレナ・アセンションおよびトリスタンダクーニャ</t>
  </si>
  <si>
    <t>Saint Helena, Ascension and Tristan da Cunha</t>
  </si>
  <si>
    <t>SHN</t>
  </si>
  <si>
    <t>SH</t>
  </si>
  <si>
    <t>ISO 3166-2:SH</t>
  </si>
  <si>
    <t>セントルシア</t>
  </si>
  <si>
    <t>Saint Lucia</t>
  </si>
  <si>
    <t>LCA</t>
  </si>
  <si>
    <t>LC</t>
  </si>
  <si>
    <t>ISO 3166-2:LC</t>
  </si>
  <si>
    <t>ソマリア</t>
  </si>
  <si>
    <t>Somalia</t>
  </si>
  <si>
    <t>SOM</t>
  </si>
  <si>
    <t>SO</t>
  </si>
  <si>
    <t>ISO 3166-2:SO</t>
  </si>
  <si>
    <t>ソロモン諸島</t>
  </si>
  <si>
    <t>Solomon Islands</t>
  </si>
  <si>
    <t>SLB</t>
  </si>
  <si>
    <t>SB</t>
  </si>
  <si>
    <t>ISO 3166-2:SB</t>
  </si>
  <si>
    <t>タークス・カイコス諸島</t>
  </si>
  <si>
    <t>Turks and Caicos Islands</t>
  </si>
  <si>
    <t>TCA</t>
  </si>
  <si>
    <t>TC</t>
  </si>
  <si>
    <t>ISO 3166-2:TC</t>
  </si>
  <si>
    <t>タイ</t>
  </si>
  <si>
    <t>Thailand</t>
  </si>
  <si>
    <t>THA</t>
  </si>
  <si>
    <t>TH</t>
  </si>
  <si>
    <t>ISO 3166-2:TH</t>
  </si>
  <si>
    <t>大韓民国</t>
  </si>
  <si>
    <t>Korea, Republic of</t>
  </si>
  <si>
    <t>KOR</t>
  </si>
  <si>
    <t>KR</t>
  </si>
  <si>
    <t>東アジア</t>
  </si>
  <si>
    <t>ISO 3166-2:KR</t>
  </si>
  <si>
    <t>台湾（中華民国）</t>
  </si>
  <si>
    <t>Taiwan, Province of China</t>
  </si>
  <si>
    <t>TWN</t>
  </si>
  <si>
    <t>TW</t>
  </si>
  <si>
    <t>ISO 3166-2:TW</t>
  </si>
  <si>
    <t>タジキスタン</t>
  </si>
  <si>
    <t>Tajikistan</t>
  </si>
  <si>
    <t>TJK</t>
  </si>
  <si>
    <t>TJ</t>
  </si>
  <si>
    <t>ISO 3166-2:TJ</t>
  </si>
  <si>
    <t>タンザニア</t>
  </si>
  <si>
    <t>Tanzania, United Republic of</t>
  </si>
  <si>
    <t>TZA</t>
  </si>
  <si>
    <t>TZ</t>
  </si>
  <si>
    <t>ISO 3166-2:TZ</t>
  </si>
  <si>
    <t>チェコ</t>
  </si>
  <si>
    <t>Czechia</t>
  </si>
  <si>
    <t>CZE</t>
  </si>
  <si>
    <t>CZ</t>
  </si>
  <si>
    <t>ISO 3166-2:CZ</t>
  </si>
  <si>
    <t>チャド</t>
  </si>
  <si>
    <t>Chad</t>
  </si>
  <si>
    <t>TCD</t>
  </si>
  <si>
    <t>TD</t>
  </si>
  <si>
    <t>ISO 3166-2:TD</t>
  </si>
  <si>
    <t>中央アフリカ共和国</t>
  </si>
  <si>
    <t>Central African Republic</t>
  </si>
  <si>
    <t>CAF</t>
  </si>
  <si>
    <t>CF</t>
  </si>
  <si>
    <t>ISO 3166-2:CF</t>
  </si>
  <si>
    <t>中華人民共和国</t>
  </si>
  <si>
    <t>China</t>
  </si>
  <si>
    <t>CHN</t>
  </si>
  <si>
    <t>CN</t>
  </si>
  <si>
    <t>ISO 3166-2:CN</t>
  </si>
  <si>
    <t>チュニジア</t>
  </si>
  <si>
    <t>Tunisia</t>
  </si>
  <si>
    <t>TUN</t>
  </si>
  <si>
    <t>TN</t>
  </si>
  <si>
    <t>ISO 3166-2:TN</t>
  </si>
  <si>
    <t>朝鮮民主主義人民共和国</t>
  </si>
  <si>
    <t>Korea, Democratic People's Republic of</t>
  </si>
  <si>
    <t>PRK</t>
  </si>
  <si>
    <t>KP</t>
  </si>
  <si>
    <t>ISO 3166-2:KP</t>
  </si>
  <si>
    <t>チリ</t>
  </si>
  <si>
    <t>Chile</t>
  </si>
  <si>
    <t>CHL</t>
  </si>
  <si>
    <t>CL</t>
  </si>
  <si>
    <t>ISO 3166-2:CL</t>
  </si>
  <si>
    <t>ツバル</t>
  </si>
  <si>
    <t>Tuvalu</t>
  </si>
  <si>
    <t>TUV</t>
  </si>
  <si>
    <t>TV</t>
  </si>
  <si>
    <t>ISO 3166-2:TV</t>
  </si>
  <si>
    <t>デンマーク</t>
  </si>
  <si>
    <t>Denmark</t>
  </si>
  <si>
    <t>DNK</t>
  </si>
  <si>
    <t>DK</t>
  </si>
  <si>
    <t>ISO 3166-2:DK</t>
  </si>
  <si>
    <t>ドイツ</t>
  </si>
  <si>
    <t>Germany</t>
  </si>
  <si>
    <t>DEU</t>
  </si>
  <si>
    <t>DE</t>
  </si>
  <si>
    <t>ISO 3166-2:DE</t>
  </si>
  <si>
    <t>トーゴ</t>
  </si>
  <si>
    <t>Togo</t>
  </si>
  <si>
    <t>TGO</t>
  </si>
  <si>
    <t>TG</t>
  </si>
  <si>
    <t>ISO 3166-2:TG</t>
  </si>
  <si>
    <t>トケラウ</t>
  </si>
  <si>
    <t>Tokelau</t>
  </si>
  <si>
    <t>TKL</t>
  </si>
  <si>
    <t>TK</t>
  </si>
  <si>
    <t>ISO 3166-2:TK</t>
  </si>
  <si>
    <t>ドミニカ共和国</t>
  </si>
  <si>
    <t>Dominican Republic</t>
  </si>
  <si>
    <t>DOM</t>
  </si>
  <si>
    <t>DO</t>
  </si>
  <si>
    <t>ISO 3166-2:DO</t>
  </si>
  <si>
    <t>ドミニカ国</t>
  </si>
  <si>
    <t>Dominica</t>
  </si>
  <si>
    <t>DMA</t>
  </si>
  <si>
    <t>DM</t>
  </si>
  <si>
    <t>ISO 3166-2:DM</t>
  </si>
  <si>
    <t>トリニダード・トバゴ</t>
  </si>
  <si>
    <t>Trinidad and Tobago</t>
  </si>
  <si>
    <t>TTO</t>
  </si>
  <si>
    <t>TT</t>
  </si>
  <si>
    <t>ISO 3166-2:TT</t>
  </si>
  <si>
    <t>トルクメニスタン</t>
  </si>
  <si>
    <t>Turkmenistan</t>
  </si>
  <si>
    <t>TKM</t>
  </si>
  <si>
    <t>TM</t>
  </si>
  <si>
    <t>ISO 3166-2:TM</t>
  </si>
  <si>
    <t>トルコ</t>
  </si>
  <si>
    <t>Turkey</t>
  </si>
  <si>
    <t>TUR</t>
  </si>
  <si>
    <t>TR</t>
  </si>
  <si>
    <t>ISO 3166-2:TR</t>
  </si>
  <si>
    <t>トンガ</t>
  </si>
  <si>
    <t>Tonga</t>
  </si>
  <si>
    <t>TON</t>
  </si>
  <si>
    <t>TO</t>
  </si>
  <si>
    <t>ISO 3166-2:TO</t>
  </si>
  <si>
    <t>ナイジェリア</t>
  </si>
  <si>
    <t>Nigeria</t>
  </si>
  <si>
    <t>NGA</t>
  </si>
  <si>
    <t>NG</t>
  </si>
  <si>
    <t>ISO 3166-2:NG</t>
  </si>
  <si>
    <t>ナウル</t>
  </si>
  <si>
    <t>Nauru</t>
  </si>
  <si>
    <t>NRU</t>
  </si>
  <si>
    <t>NR</t>
  </si>
  <si>
    <t>ISO 3166-2:NR</t>
  </si>
  <si>
    <t>ナミビア</t>
  </si>
  <si>
    <t>Namibia</t>
  </si>
  <si>
    <t>NAM</t>
  </si>
  <si>
    <t>NA</t>
  </si>
  <si>
    <t>ISO 3166-2:NA</t>
  </si>
  <si>
    <t>南極</t>
  </si>
  <si>
    <t>Antarctica</t>
  </si>
  <si>
    <t>ATA</t>
  </si>
  <si>
    <t>AQ</t>
  </si>
  <si>
    <t>ISO 3166-2:AQ</t>
  </si>
  <si>
    <t>ニウエ</t>
  </si>
  <si>
    <t>Niue</t>
  </si>
  <si>
    <t>NIU</t>
  </si>
  <si>
    <t>NU</t>
  </si>
  <si>
    <t>ISO 3166-2:NU</t>
  </si>
  <si>
    <t>ニカラグア</t>
  </si>
  <si>
    <t>Nicaragua</t>
  </si>
  <si>
    <t>NIC</t>
  </si>
  <si>
    <t>NI</t>
  </si>
  <si>
    <t>ISO 3166-2:NI</t>
  </si>
  <si>
    <t>ニジェール</t>
  </si>
  <si>
    <t>Niger</t>
  </si>
  <si>
    <t>NER</t>
  </si>
  <si>
    <t>NE</t>
  </si>
  <si>
    <t>ISO 3166-2:NE</t>
  </si>
  <si>
    <t>日本</t>
  </si>
  <si>
    <t>Japan</t>
  </si>
  <si>
    <t>JPN</t>
  </si>
  <si>
    <t>JP</t>
  </si>
  <si>
    <t>ISO 3166-2:JP</t>
  </si>
  <si>
    <t>西サハラ</t>
  </si>
  <si>
    <t>Western Sahara</t>
  </si>
  <si>
    <t>ESH</t>
  </si>
  <si>
    <t>EH</t>
  </si>
  <si>
    <t>ISO 3166-2:EH</t>
  </si>
  <si>
    <t>ニューカレドニア</t>
  </si>
  <si>
    <t>New Caledonia</t>
  </si>
  <si>
    <t>NCL</t>
  </si>
  <si>
    <t>NC</t>
  </si>
  <si>
    <t>ISO 3166-2:NC</t>
  </si>
  <si>
    <t>ニュージーランド</t>
  </si>
  <si>
    <t>New Zealand</t>
  </si>
  <si>
    <t>NZL</t>
  </si>
  <si>
    <t>NZ</t>
  </si>
  <si>
    <t>ISO 3166-2:NZ</t>
  </si>
  <si>
    <t>ネパール</t>
  </si>
  <si>
    <t>Nepal</t>
  </si>
  <si>
    <t>NPL</t>
  </si>
  <si>
    <t>NP</t>
  </si>
  <si>
    <t>ISO 3166-2:NP</t>
  </si>
  <si>
    <t>ノーフォーク島</t>
  </si>
  <si>
    <t>Norfolk Island</t>
  </si>
  <si>
    <t>NFK</t>
  </si>
  <si>
    <t>NF</t>
  </si>
  <si>
    <t>ISO 3166-2:NF</t>
  </si>
  <si>
    <t>ノルウェー</t>
  </si>
  <si>
    <t>Norway</t>
  </si>
  <si>
    <t>NOR</t>
  </si>
  <si>
    <t>NO</t>
  </si>
  <si>
    <t>ISO 3166-2:NO</t>
  </si>
  <si>
    <t>ハード島とマクドナルド諸島</t>
  </si>
  <si>
    <t>Heard Island and McDonald Islands</t>
  </si>
  <si>
    <t>HMD</t>
  </si>
  <si>
    <t>HM</t>
  </si>
  <si>
    <t>ISO 3166-2:HM</t>
  </si>
  <si>
    <t>バーレーン</t>
  </si>
  <si>
    <t>Bahrain</t>
  </si>
  <si>
    <t>BHR</t>
  </si>
  <si>
    <t>BH</t>
  </si>
  <si>
    <t>ISO 3166-2:BH</t>
  </si>
  <si>
    <t>ハイチ</t>
  </si>
  <si>
    <t>Haiti</t>
  </si>
  <si>
    <t>HTI</t>
  </si>
  <si>
    <t>HT</t>
  </si>
  <si>
    <t>ISO 3166-2:HT</t>
  </si>
  <si>
    <t>パキスタン</t>
  </si>
  <si>
    <t>Pakistan</t>
  </si>
  <si>
    <t>PAK</t>
  </si>
  <si>
    <t>PK</t>
  </si>
  <si>
    <t>ISO 3166-2:PK</t>
  </si>
  <si>
    <t>バチカン市国</t>
  </si>
  <si>
    <t>Holy See</t>
  </si>
  <si>
    <t>VAT</t>
  </si>
  <si>
    <t>VA</t>
  </si>
  <si>
    <t>ISO 3166-2:VA</t>
  </si>
  <si>
    <t>パナマ</t>
  </si>
  <si>
    <t>Panama</t>
  </si>
  <si>
    <t>PAN</t>
  </si>
  <si>
    <t>PA</t>
  </si>
  <si>
    <t>ISO 3166-2:PA</t>
  </si>
  <si>
    <t>バヌアツ</t>
  </si>
  <si>
    <t>Vanuatu</t>
  </si>
  <si>
    <t>VUT</t>
  </si>
  <si>
    <t>VU</t>
  </si>
  <si>
    <t>ISO 3166-2:VU</t>
  </si>
  <si>
    <t>バハマ</t>
  </si>
  <si>
    <t>Bahamas</t>
  </si>
  <si>
    <t>BHS</t>
  </si>
  <si>
    <t>BS</t>
  </si>
  <si>
    <t>ISO 3166-2:BS</t>
  </si>
  <si>
    <t>パプアニューギニア</t>
  </si>
  <si>
    <t>Papua New Guinea</t>
  </si>
  <si>
    <t>PNG</t>
  </si>
  <si>
    <t>PG</t>
  </si>
  <si>
    <t>ISO 3166-2:PG</t>
  </si>
  <si>
    <t>バミューダ</t>
  </si>
  <si>
    <t>Bermuda</t>
  </si>
  <si>
    <t>BMU</t>
  </si>
  <si>
    <t>BM</t>
  </si>
  <si>
    <t>ISO 3166-2:BM</t>
  </si>
  <si>
    <t>パラオ</t>
  </si>
  <si>
    <t>Palau</t>
  </si>
  <si>
    <t>PLW</t>
  </si>
  <si>
    <t>PW</t>
  </si>
  <si>
    <t>ISO 3166-2:PW</t>
  </si>
  <si>
    <t>パラグアイ</t>
  </si>
  <si>
    <t>Paraguay</t>
  </si>
  <si>
    <t>PRY</t>
  </si>
  <si>
    <t>PY</t>
  </si>
  <si>
    <t>ISO 3166-2:PY</t>
  </si>
  <si>
    <t>バルバドス</t>
  </si>
  <si>
    <t>Barbados</t>
  </si>
  <si>
    <t>BRB</t>
  </si>
  <si>
    <t>BB</t>
  </si>
  <si>
    <t>ISO 3166-2:BB</t>
  </si>
  <si>
    <t>パレスチナ</t>
  </si>
  <si>
    <t>Palestine, State of</t>
  </si>
  <si>
    <t>PSE</t>
  </si>
  <si>
    <t>PS</t>
  </si>
  <si>
    <t>ISO 3166-2:PS</t>
  </si>
  <si>
    <t>ハンガリー</t>
  </si>
  <si>
    <t>Hungary</t>
  </si>
  <si>
    <t>HUN</t>
  </si>
  <si>
    <t>HU</t>
  </si>
  <si>
    <t>ISO 3166-2:HU</t>
  </si>
  <si>
    <t>バングラデシュ</t>
  </si>
  <si>
    <t>Bangladesh</t>
  </si>
  <si>
    <t>BGD</t>
  </si>
  <si>
    <t>BD</t>
  </si>
  <si>
    <t>ISO 3166-2:BD</t>
  </si>
  <si>
    <t>東ティモール</t>
  </si>
  <si>
    <t>Timor-Leste</t>
  </si>
  <si>
    <t>TLS</t>
  </si>
  <si>
    <t>TL</t>
  </si>
  <si>
    <t>ISO 3166-2:TL</t>
  </si>
  <si>
    <t>ピトケアン</t>
  </si>
  <si>
    <t>Pitcairn</t>
  </si>
  <si>
    <t>PCN</t>
  </si>
  <si>
    <t>PN</t>
  </si>
  <si>
    <t>ISO 3166-2:PN</t>
  </si>
  <si>
    <t>フィジー</t>
  </si>
  <si>
    <t>Fiji</t>
  </si>
  <si>
    <t>FJI</t>
  </si>
  <si>
    <t>FJ</t>
  </si>
  <si>
    <t>ISO 3166-2:FJ</t>
  </si>
  <si>
    <t>フィリピン</t>
  </si>
  <si>
    <t>Philippines</t>
  </si>
  <si>
    <t>PHL</t>
  </si>
  <si>
    <t>PH</t>
  </si>
  <si>
    <t>ISO 3166-2:PH</t>
  </si>
  <si>
    <t>フィンランド</t>
  </si>
  <si>
    <t>Finland</t>
  </si>
  <si>
    <t>FIN</t>
  </si>
  <si>
    <t>FI</t>
  </si>
  <si>
    <t>ISO 3166-2:FI</t>
  </si>
  <si>
    <t>ブータン</t>
  </si>
  <si>
    <t>Bhutan</t>
  </si>
  <si>
    <t>BTN</t>
  </si>
  <si>
    <t>BT</t>
  </si>
  <si>
    <t>ISO 3166-2:BT</t>
  </si>
  <si>
    <t>ブーベ島</t>
  </si>
  <si>
    <t>Bouvet Island</t>
  </si>
  <si>
    <t>BVT</t>
  </si>
  <si>
    <t>BV</t>
  </si>
  <si>
    <t>ISO 3166-2:BV</t>
  </si>
  <si>
    <t>プエルトリコ</t>
  </si>
  <si>
    <t>Puerto Rico</t>
  </si>
  <si>
    <t>PRI</t>
  </si>
  <si>
    <t>PR</t>
  </si>
  <si>
    <t>ISO 3166-2:PR</t>
  </si>
  <si>
    <t>フェロー諸島</t>
  </si>
  <si>
    <t>Faroe Islands</t>
  </si>
  <si>
    <t>FRO</t>
  </si>
  <si>
    <t>FO</t>
  </si>
  <si>
    <t>ISO 3166-2:FO</t>
  </si>
  <si>
    <t>フォークランド（マルビナス）諸島</t>
  </si>
  <si>
    <t>Falkland Islands (Malvinas)</t>
  </si>
  <si>
    <t>FLK</t>
  </si>
  <si>
    <t>FK</t>
  </si>
  <si>
    <t>ISO 3166-2:FK</t>
  </si>
  <si>
    <t>ブラジル</t>
  </si>
  <si>
    <t>Brazil</t>
  </si>
  <si>
    <t>BRA</t>
  </si>
  <si>
    <t>BR</t>
  </si>
  <si>
    <t>ISO 3166-2:BR</t>
  </si>
  <si>
    <t>フランス</t>
  </si>
  <si>
    <t>France</t>
  </si>
  <si>
    <t>FRA</t>
  </si>
  <si>
    <t>FR</t>
  </si>
  <si>
    <t>ISO 3166-2:FR</t>
  </si>
  <si>
    <t>フランス領ギアナ</t>
  </si>
  <si>
    <t>French Guiana</t>
  </si>
  <si>
    <t>GUF</t>
  </si>
  <si>
    <t>GF</t>
  </si>
  <si>
    <t>ISO 3166-2:GF</t>
  </si>
  <si>
    <t>フランス領ポリネシア</t>
  </si>
  <si>
    <t>French Polynesia</t>
  </si>
  <si>
    <t>PYF</t>
  </si>
  <si>
    <t>PF</t>
  </si>
  <si>
    <t>ISO 3166-2:PF</t>
  </si>
  <si>
    <t>フランス領南方・南極地域</t>
  </si>
  <si>
    <t>French Southern Territories</t>
  </si>
  <si>
    <t>ATF</t>
  </si>
  <si>
    <t>TF</t>
  </si>
  <si>
    <t>ISO 3166-2:TF</t>
  </si>
  <si>
    <t>ブルガリア</t>
  </si>
  <si>
    <t>Bulgaria</t>
  </si>
  <si>
    <t>BGR</t>
  </si>
  <si>
    <t>BG</t>
  </si>
  <si>
    <t>ISO 3166-2:BG</t>
  </si>
  <si>
    <t>ブルキナファソ</t>
  </si>
  <si>
    <t>Burkina Faso</t>
  </si>
  <si>
    <t>BFA</t>
  </si>
  <si>
    <t>BF</t>
  </si>
  <si>
    <t>ISO 3166-2:BF</t>
  </si>
  <si>
    <t>ブルネイ・ダルサラーム</t>
  </si>
  <si>
    <t>Brunei Darussalam</t>
  </si>
  <si>
    <t>BRN</t>
  </si>
  <si>
    <t>BN</t>
  </si>
  <si>
    <t>ISO 3166-2:BN</t>
  </si>
  <si>
    <t>ブルンジ</t>
  </si>
  <si>
    <t>Burundi</t>
  </si>
  <si>
    <t>BDI</t>
  </si>
  <si>
    <t>BI</t>
  </si>
  <si>
    <t>ISO 3166-2:BI</t>
  </si>
  <si>
    <t>ベトナム</t>
  </si>
  <si>
    <t>Viet Nam</t>
  </si>
  <si>
    <t>VNM</t>
  </si>
  <si>
    <t>VN</t>
  </si>
  <si>
    <t>ISO 3166-2:VN</t>
  </si>
  <si>
    <t>ベナン</t>
  </si>
  <si>
    <t>Benin</t>
  </si>
  <si>
    <t>BEN</t>
  </si>
  <si>
    <t>BJ</t>
  </si>
  <si>
    <t>ISO 3166-2:BJ</t>
  </si>
  <si>
    <t>ベネズエラ・ボリバル共和国</t>
  </si>
  <si>
    <t>Venezuela (Bolivarian Republic of)</t>
  </si>
  <si>
    <t>VEN</t>
  </si>
  <si>
    <t>VE</t>
  </si>
  <si>
    <t>ISO 3166-2:VE</t>
  </si>
  <si>
    <t>ベラルーシ</t>
  </si>
  <si>
    <t>Belarus</t>
  </si>
  <si>
    <t>BLR</t>
  </si>
  <si>
    <t>BY</t>
  </si>
  <si>
    <t>ISO 3166-2:BY</t>
  </si>
  <si>
    <t>ベリーズ</t>
  </si>
  <si>
    <t>Belize</t>
  </si>
  <si>
    <t>BLZ</t>
  </si>
  <si>
    <t>BZ</t>
  </si>
  <si>
    <t>ISO 3166-2:BZ</t>
  </si>
  <si>
    <t>ペルー</t>
  </si>
  <si>
    <t>Peru</t>
  </si>
  <si>
    <t>PER</t>
  </si>
  <si>
    <t>PE</t>
  </si>
  <si>
    <t>ISO 3166-2:PE</t>
  </si>
  <si>
    <t>ベルギー</t>
  </si>
  <si>
    <t>Belgium</t>
  </si>
  <si>
    <t>BEL</t>
  </si>
  <si>
    <t>BE</t>
  </si>
  <si>
    <t>ISO 3166-2:BE</t>
  </si>
  <si>
    <t>ポーランド</t>
  </si>
  <si>
    <t>Poland</t>
  </si>
  <si>
    <t>POL</t>
  </si>
  <si>
    <t>PL</t>
  </si>
  <si>
    <t>ISO 3166-2:PL</t>
  </si>
  <si>
    <t>ボスニア・ヘルツェゴビナ</t>
  </si>
  <si>
    <t>Bosnia and Herzegovina</t>
  </si>
  <si>
    <t>BIH</t>
  </si>
  <si>
    <t>BA</t>
  </si>
  <si>
    <t>ISO 3166-2:BA</t>
  </si>
  <si>
    <t>ボツワナ</t>
  </si>
  <si>
    <t>Botswana</t>
  </si>
  <si>
    <t>BWA</t>
  </si>
  <si>
    <t>BW</t>
  </si>
  <si>
    <t>ISO 3166-2:BW</t>
  </si>
  <si>
    <t>ボネール、シント・ユースタティウスおよびサバ</t>
  </si>
  <si>
    <t>Bonaire, Sint Eustatius and Saba</t>
  </si>
  <si>
    <t>BES</t>
  </si>
  <si>
    <t>BQ</t>
  </si>
  <si>
    <t>ISO 3166-2:BQ</t>
  </si>
  <si>
    <t>ボリビア多民族国</t>
  </si>
  <si>
    <t>Bolivia (Plurinational State of)</t>
  </si>
  <si>
    <t>BOL</t>
  </si>
  <si>
    <t>BO</t>
  </si>
  <si>
    <t>ISO 3166-2:BO</t>
  </si>
  <si>
    <t>ポルトガル</t>
  </si>
  <si>
    <t>Portugal</t>
  </si>
  <si>
    <t>PRT</t>
  </si>
  <si>
    <t>PT</t>
  </si>
  <si>
    <t>ISO 3166-2:PT</t>
  </si>
  <si>
    <t>香港</t>
  </si>
  <si>
    <t>Hong Kong</t>
  </si>
  <si>
    <t>HKG</t>
  </si>
  <si>
    <t>HK</t>
  </si>
  <si>
    <t>ISO 3166-2:HK</t>
  </si>
  <si>
    <t>ホンジュラス</t>
  </si>
  <si>
    <t>Honduras</t>
  </si>
  <si>
    <t>HND</t>
  </si>
  <si>
    <t>HN</t>
  </si>
  <si>
    <t>ISO 3166-2:HN</t>
  </si>
  <si>
    <t>マーシャル諸島</t>
  </si>
  <si>
    <t>Marshall Islands</t>
  </si>
  <si>
    <t>MHL</t>
  </si>
  <si>
    <t>MH</t>
  </si>
  <si>
    <t>ISO 3166-2:MH</t>
  </si>
  <si>
    <t>マカオ</t>
  </si>
  <si>
    <t>Macau</t>
  </si>
  <si>
    <t>MAC</t>
  </si>
  <si>
    <t>MO</t>
  </si>
  <si>
    <t>ISO 3166-2:MO</t>
  </si>
  <si>
    <t>マダガスカル</t>
  </si>
  <si>
    <t>Madagascar</t>
  </si>
  <si>
    <t>MDG</t>
  </si>
  <si>
    <t>MG</t>
  </si>
  <si>
    <t>ISO 3166-2:MG</t>
  </si>
  <si>
    <t>マヨット</t>
  </si>
  <si>
    <t>Mayotte</t>
  </si>
  <si>
    <t>MYT</t>
  </si>
  <si>
    <t>YT</t>
  </si>
  <si>
    <t>ISO 3166-2:YT</t>
  </si>
  <si>
    <t>マラウイ</t>
  </si>
  <si>
    <t>Malawi</t>
  </si>
  <si>
    <t>MWI</t>
  </si>
  <si>
    <t>MW</t>
  </si>
  <si>
    <t>ISO 3166-2:MW</t>
  </si>
  <si>
    <t>マリ</t>
  </si>
  <si>
    <t>Mali</t>
  </si>
  <si>
    <t>MLI</t>
  </si>
  <si>
    <t>ML</t>
  </si>
  <si>
    <t>ISO 3166-2:ML</t>
  </si>
  <si>
    <t>マルタ</t>
  </si>
  <si>
    <t>Malta</t>
  </si>
  <si>
    <t>MLT</t>
  </si>
  <si>
    <t>MT</t>
  </si>
  <si>
    <t>ISO 3166-2:MT</t>
  </si>
  <si>
    <t>マルティニーク</t>
  </si>
  <si>
    <t>Martinique</t>
  </si>
  <si>
    <t>MTQ</t>
  </si>
  <si>
    <t>MQ</t>
  </si>
  <si>
    <t>ISO 3166-2:MQ</t>
  </si>
  <si>
    <t>マレーシア</t>
  </si>
  <si>
    <t>Malaysia</t>
  </si>
  <si>
    <t>MYS</t>
  </si>
  <si>
    <t>MY</t>
  </si>
  <si>
    <t>ISO 3166-2:MY</t>
  </si>
  <si>
    <t>マン島</t>
  </si>
  <si>
    <t>Isle of Man</t>
  </si>
  <si>
    <t>IMN</t>
  </si>
  <si>
    <t>IM</t>
  </si>
  <si>
    <t>ISO 3166-2:IM</t>
  </si>
  <si>
    <t>ミクロネシア連邦</t>
  </si>
  <si>
    <t>Micronesia (Federated States of)</t>
  </si>
  <si>
    <t>FSM</t>
  </si>
  <si>
    <t>FM</t>
  </si>
  <si>
    <t>ISO 3166-2:FM</t>
  </si>
  <si>
    <t>South Africa</t>
  </si>
  <si>
    <t>ZAF</t>
  </si>
  <si>
    <t>ZA</t>
  </si>
  <si>
    <t>ISO 3166-2:ZA</t>
  </si>
  <si>
    <t>南スーダン</t>
  </si>
  <si>
    <t>South Sudan</t>
  </si>
  <si>
    <t>SSD</t>
  </si>
  <si>
    <t>SS</t>
  </si>
  <si>
    <t>ISO 3166-2:SS</t>
  </si>
  <si>
    <t>ミャンマー</t>
  </si>
  <si>
    <t>Myanmar</t>
  </si>
  <si>
    <t>MMR</t>
  </si>
  <si>
    <t>MM</t>
  </si>
  <si>
    <t>ISO 3166-2:MM</t>
  </si>
  <si>
    <t>メキシコ</t>
  </si>
  <si>
    <t>Mexico</t>
  </si>
  <si>
    <t>MEX</t>
  </si>
  <si>
    <t>MX</t>
  </si>
  <si>
    <t>ISO 3166-2:MX</t>
  </si>
  <si>
    <t>モーリシャス</t>
  </si>
  <si>
    <t>Mauritius</t>
  </si>
  <si>
    <t>MUS</t>
  </si>
  <si>
    <t>MU</t>
  </si>
  <si>
    <t>ISO 3166-2:MU</t>
  </si>
  <si>
    <t>モーリタニア</t>
  </si>
  <si>
    <t>Mauritania</t>
  </si>
  <si>
    <t>MRT</t>
  </si>
  <si>
    <t>MR</t>
  </si>
  <si>
    <t>ISO 3166-2:MR</t>
  </si>
  <si>
    <t>モザンビーク</t>
  </si>
  <si>
    <t>Mozambique</t>
  </si>
  <si>
    <t>MOZ</t>
  </si>
  <si>
    <t>MZ</t>
  </si>
  <si>
    <t>ISO 3166-2:MZ</t>
  </si>
  <si>
    <t>モナコ</t>
  </si>
  <si>
    <t>Monaco</t>
  </si>
  <si>
    <t>MCO</t>
  </si>
  <si>
    <t>MC</t>
  </si>
  <si>
    <t>ISO 3166-2:MC</t>
  </si>
  <si>
    <t>モルディブ</t>
  </si>
  <si>
    <t>Maldives</t>
  </si>
  <si>
    <t>MDV</t>
  </si>
  <si>
    <t>MV</t>
  </si>
  <si>
    <t>ISO 3166-2:MV</t>
  </si>
  <si>
    <t>モルドバ共和国</t>
  </si>
  <si>
    <t>Moldova, Republic of</t>
  </si>
  <si>
    <t>MDA</t>
  </si>
  <si>
    <t>MD</t>
  </si>
  <si>
    <t>ISO 3166-2:MD</t>
  </si>
  <si>
    <t>モロッコ</t>
  </si>
  <si>
    <t>Morocco</t>
  </si>
  <si>
    <t>MAR</t>
  </si>
  <si>
    <t>MA</t>
  </si>
  <si>
    <t>ISO 3166-2:MA</t>
  </si>
  <si>
    <t>モンゴル</t>
  </si>
  <si>
    <t>Mongolia</t>
  </si>
  <si>
    <t>MNG</t>
  </si>
  <si>
    <t>MN</t>
  </si>
  <si>
    <t>ISO 3166-2:MN</t>
  </si>
  <si>
    <t>モンテネグロ</t>
  </si>
  <si>
    <t>Montenegro</t>
  </si>
  <si>
    <t>MNE</t>
  </si>
  <si>
    <t>ME</t>
  </si>
  <si>
    <t>ISO 3166-2:ME</t>
  </si>
  <si>
    <t>モントセラト</t>
  </si>
  <si>
    <t>Montserrat</t>
  </si>
  <si>
    <t>MSR</t>
  </si>
  <si>
    <t>MS</t>
  </si>
  <si>
    <t>ISO 3166-2:MS</t>
  </si>
  <si>
    <t>ヨルダン</t>
  </si>
  <si>
    <t>Jordan</t>
  </si>
  <si>
    <t>JOR</t>
  </si>
  <si>
    <t>JO</t>
  </si>
  <si>
    <t>ISO 3166-2:JO</t>
  </si>
  <si>
    <t>ラオス人民民主共和国</t>
  </si>
  <si>
    <t>Lao People's Democratic Republic</t>
  </si>
  <si>
    <t>LAO</t>
  </si>
  <si>
    <t>LA</t>
  </si>
  <si>
    <t>ISO 3166-2:LA</t>
  </si>
  <si>
    <t>ラトビア</t>
  </si>
  <si>
    <t>Latvia</t>
  </si>
  <si>
    <t>LVA</t>
  </si>
  <si>
    <t>LV</t>
  </si>
  <si>
    <t>ISO 3166-2:LV</t>
  </si>
  <si>
    <t>リトアニア</t>
  </si>
  <si>
    <t>Lithuania</t>
  </si>
  <si>
    <t>LTU</t>
  </si>
  <si>
    <t>LT</t>
  </si>
  <si>
    <t>ISO 3166-2:LT</t>
  </si>
  <si>
    <t>リビア</t>
  </si>
  <si>
    <t>Libya</t>
  </si>
  <si>
    <t>LBY</t>
  </si>
  <si>
    <t>LY</t>
  </si>
  <si>
    <t>ISO 3166-2:LY</t>
  </si>
  <si>
    <t>リヒテンシュタイン</t>
  </si>
  <si>
    <t>Liechtenstein</t>
  </si>
  <si>
    <t>LIE</t>
  </si>
  <si>
    <t>LI</t>
  </si>
  <si>
    <t>ISO 3166-2:LI</t>
  </si>
  <si>
    <t>リベリア</t>
  </si>
  <si>
    <t>Liberia</t>
  </si>
  <si>
    <t>LBR</t>
  </si>
  <si>
    <t>LR</t>
  </si>
  <si>
    <t>ISO 3166-2:LR</t>
  </si>
  <si>
    <t>ルーマニア</t>
  </si>
  <si>
    <t>Romania</t>
  </si>
  <si>
    <t>ROU</t>
  </si>
  <si>
    <t>RO</t>
  </si>
  <si>
    <t>ISO 3166-2:RO</t>
  </si>
  <si>
    <t>ルクセンブルク</t>
  </si>
  <si>
    <t>Luxembourg</t>
  </si>
  <si>
    <t>LUX</t>
  </si>
  <si>
    <t>LU</t>
  </si>
  <si>
    <t>ISO 3166-2:LU</t>
  </si>
  <si>
    <t>ルワンダ</t>
  </si>
  <si>
    <t>Rwanda</t>
  </si>
  <si>
    <t>RWA</t>
  </si>
  <si>
    <t>RW</t>
  </si>
  <si>
    <t>ISO 3166-2:RW</t>
  </si>
  <si>
    <t>レソト</t>
  </si>
  <si>
    <t>Lesotho</t>
  </si>
  <si>
    <t>LSO</t>
  </si>
  <si>
    <t>LS</t>
  </si>
  <si>
    <t>ISO 3166-2:LS</t>
  </si>
  <si>
    <t>レバノン</t>
  </si>
  <si>
    <t>Lebanon</t>
  </si>
  <si>
    <t>LBN</t>
  </si>
  <si>
    <t>LB</t>
  </si>
  <si>
    <t>ISO 3166-2:LB</t>
  </si>
  <si>
    <t>レユニオン</t>
  </si>
  <si>
    <t>Réunion</t>
  </si>
  <si>
    <t>REU</t>
  </si>
  <si>
    <t>RE</t>
  </si>
  <si>
    <t>ISO 3166-2:RE</t>
  </si>
  <si>
    <t>ロシア連邦</t>
  </si>
  <si>
    <t>Russian Federation</t>
  </si>
  <si>
    <t>RUS</t>
  </si>
  <si>
    <t>RU</t>
  </si>
  <si>
    <t>ロシア</t>
  </si>
  <si>
    <t>ISO 3166-2:RU</t>
  </si>
  <si>
    <t>チップ国</t>
    <rPh sb="3" eb="4">
      <t>クニ</t>
    </rPh>
    <phoneticPr fontId="4"/>
  </si>
  <si>
    <t>row</t>
    <phoneticPr fontId="4"/>
  </si>
  <si>
    <t>dup
row</t>
    <phoneticPr fontId="4"/>
  </si>
  <si>
    <t>同一競技チェック用</t>
    <rPh sb="0" eb="2">
      <t>ドウイツ</t>
    </rPh>
    <rPh sb="2" eb="4">
      <t>キョウギ</t>
    </rPh>
    <rPh sb="8" eb="9">
      <t>ヨウ</t>
    </rPh>
    <phoneticPr fontId="4"/>
  </si>
  <si>
    <t>(NGが出たら確認)</t>
    <rPh sb="4" eb="5">
      <t>デ</t>
    </rPh>
    <rPh sb="7" eb="9">
      <t>カクニン</t>
    </rPh>
    <phoneticPr fontId="4"/>
  </si>
  <si>
    <t>日馬連番号</t>
    <rPh sb="0" eb="3">
      <t>ニチバレン</t>
    </rPh>
    <rPh sb="3" eb="5">
      <t>バンゴウ</t>
    </rPh>
    <phoneticPr fontId="4"/>
  </si>
  <si>
    <t>日馬連登録番号が同じ選手がいます。</t>
    <phoneticPr fontId="4"/>
  </si>
  <si>
    <t>日馬連登録番号が正しくありません。</t>
    <rPh sb="8" eb="9">
      <t>タダ</t>
    </rPh>
    <phoneticPr fontId="4"/>
  </si>
  <si>
    <t>チップNo
重複</t>
    <rPh sb="6" eb="8">
      <t>チョウフク</t>
    </rPh>
    <phoneticPr fontId="4"/>
  </si>
  <si>
    <t>競技番号</t>
    <rPh sb="0" eb="4">
      <t>キョウギバンゴウ</t>
    </rPh>
    <phoneticPr fontId="4"/>
  </si>
  <si>
    <r>
      <t xml:space="preserve">競走馬時代馬名
</t>
    </r>
    <r>
      <rPr>
        <sz val="9"/>
        <color theme="1"/>
        <rFont val="游ゴシック"/>
        <family val="3"/>
        <charset val="128"/>
        <scheme val="minor"/>
      </rPr>
      <t>(引退競走馬用)</t>
    </r>
    <rPh sb="0" eb="5">
      <t>キョウソウバジダイ</t>
    </rPh>
    <rPh sb="5" eb="7">
      <t>バメイ</t>
    </rPh>
    <phoneticPr fontId="4"/>
  </si>
  <si>
    <t>競走馬名</t>
    <rPh sb="0" eb="4">
      <t>キョウソウバメイ</t>
    </rPh>
    <phoneticPr fontId="4"/>
  </si>
  <si>
    <t>馬名+競走馬名</t>
    <rPh sb="0" eb="2">
      <t>バメイ</t>
    </rPh>
    <rPh sb="3" eb="7">
      <t>キョウソウバメイ</t>
    </rPh>
    <phoneticPr fontId="4"/>
  </si>
  <si>
    <t>競走馬</t>
    <rPh sb="0" eb="3">
      <t>キョウソウバ</t>
    </rPh>
    <phoneticPr fontId="4"/>
  </si>
  <si>
    <t>競走馬名</t>
    <rPh sb="0" eb="3">
      <t>キョウソウバ</t>
    </rPh>
    <rPh sb="3" eb="4">
      <t>メイ</t>
    </rPh>
    <phoneticPr fontId="4"/>
  </si>
  <si>
    <t>チップID</t>
    <phoneticPr fontId="4"/>
  </si>
  <si>
    <t>マイクロチップNoを馬匹登録シートで入力してください。</t>
    <rPh sb="10" eb="14">
      <t>バヒツトウロク</t>
    </rPh>
    <rPh sb="18" eb="20">
      <t>ニュウリョク</t>
    </rPh>
    <phoneticPr fontId="4"/>
  </si>
  <si>
    <t>競走馬時代の名前を馬匹登録シートで入力してください。</t>
    <rPh sb="0" eb="5">
      <t>キョウソウバジダイ</t>
    </rPh>
    <rPh sb="6" eb="8">
      <t>ナマエ</t>
    </rPh>
    <rPh sb="9" eb="13">
      <t>バヒツトウロク</t>
    </rPh>
    <rPh sb="17" eb="19">
      <t>ニュウリョク</t>
    </rPh>
    <phoneticPr fontId="4"/>
  </si>
  <si>
    <t>プロNG</t>
    <phoneticPr fontId="4"/>
  </si>
  <si>
    <t>メッセージに従って
エントリー・選手・馬匹登録を修正してください。</t>
    <phoneticPr fontId="4"/>
  </si>
  <si>
    <r>
      <rPr>
        <b/>
        <sz val="11"/>
        <color theme="1"/>
        <rFont val="ＭＳ Ｐゴシック"/>
        <family val="3"/>
        <charset val="128"/>
      </rPr>
      <t>確認メッセージ</t>
    </r>
    <r>
      <rPr>
        <sz val="11"/>
        <color theme="1"/>
        <rFont val="ＭＳ Ｐゴシック"/>
        <family val="3"/>
        <charset val="128"/>
      </rPr>
      <t xml:space="preserve">
</t>
    </r>
    <r>
      <rPr>
        <sz val="10"/>
        <color theme="1"/>
        <rFont val="ＭＳ Ｐゴシック"/>
        <family val="3"/>
        <charset val="128"/>
      </rPr>
      <t>メッセージに従って
エントリー・選手・馬匹登録を修正してください。</t>
    </r>
    <rPh sb="0" eb="2">
      <t>カクニン</t>
    </rPh>
    <rPh sb="14" eb="15">
      <t>シタガ</t>
    </rPh>
    <rPh sb="24" eb="26">
      <t>センシュ</t>
    </rPh>
    <rPh sb="27" eb="29">
      <t>バヒツ</t>
    </rPh>
    <rPh sb="29" eb="31">
      <t>トウロク</t>
    </rPh>
    <rPh sb="32" eb="34">
      <t>シュウセイ</t>
    </rPh>
    <phoneticPr fontId="4"/>
  </si>
  <si>
    <t xml:space="preserve"> (新規・更新を選択/入力)</t>
    <rPh sb="2" eb="4">
      <t>シンキ</t>
    </rPh>
    <rPh sb="5" eb="7">
      <t>コウシン</t>
    </rPh>
    <rPh sb="8" eb="10">
      <t>センタク</t>
    </rPh>
    <rPh sb="11" eb="13">
      <t>ニュウリョク</t>
    </rPh>
    <phoneticPr fontId="4"/>
  </si>
  <si>
    <t>※ 大会本部より携帯電話へ電話する場合があります。必ず対応してください。</t>
    <rPh sb="2" eb="6">
      <t>タイカイホンブ</t>
    </rPh>
    <rPh sb="8" eb="12">
      <t>ケイタイデンワ</t>
    </rPh>
    <rPh sb="13" eb="15">
      <t>デンワ</t>
    </rPh>
    <rPh sb="17" eb="19">
      <t>バアイ</t>
    </rPh>
    <rPh sb="25" eb="26">
      <t>カナラ</t>
    </rPh>
    <rPh sb="27" eb="29">
      <t>タイオウ</t>
    </rPh>
    <phoneticPr fontId="4"/>
  </si>
  <si>
    <t>カナ</t>
  </si>
  <si>
    <t>通信欄
(自由選択課目競技は選択課目を記入)</t>
    <rPh sb="0" eb="3">
      <t>ツウシンラン</t>
    </rPh>
    <rPh sb="5" eb="9">
      <t>ジユウセンタク</t>
    </rPh>
    <rPh sb="9" eb="11">
      <t>カモク</t>
    </rPh>
    <rPh sb="11" eb="13">
      <t>キョウギ</t>
    </rPh>
    <rPh sb="14" eb="16">
      <t>センタク</t>
    </rPh>
    <rPh sb="16" eb="18">
      <t>カモク</t>
    </rPh>
    <rPh sb="19" eb="21">
      <t>キニュウ</t>
    </rPh>
    <phoneticPr fontId="4"/>
  </si>
  <si>
    <t>※ 学生：大学生・ジュニア・チルドレン</t>
    <rPh sb="2" eb="4">
      <t>ガクセイ</t>
    </rPh>
    <rPh sb="5" eb="8">
      <t>ダイガクセイ</t>
    </rPh>
    <phoneticPr fontId="4"/>
  </si>
  <si>
    <t>※ジュニア：高校生以下、チルドレン：中学生以下</t>
    <rPh sb="6" eb="9">
      <t>コウコウセイ</t>
    </rPh>
    <rPh sb="9" eb="11">
      <t>イカ</t>
    </rPh>
    <rPh sb="18" eb="23">
      <t>チュウガクセイイカ</t>
    </rPh>
    <phoneticPr fontId="4"/>
  </si>
  <si>
    <r>
      <t xml:space="preserve">マイクロチップNo
</t>
    </r>
    <r>
      <rPr>
        <sz val="9"/>
        <color theme="1"/>
        <rFont val="游ゴシック"/>
        <family val="3"/>
        <charset val="128"/>
        <scheme val="minor"/>
      </rPr>
      <t xml:space="preserve">(15桁の数字, 引退競走馬用, 任意) </t>
    </r>
    <rPh sb="13" eb="14">
      <t>ケタ</t>
    </rPh>
    <rPh sb="15" eb="17">
      <t>スウジ</t>
    </rPh>
    <rPh sb="19" eb="24">
      <t>インタイキョウソウバ</t>
    </rPh>
    <rPh sb="24" eb="25">
      <t>ヨウ</t>
    </rPh>
    <rPh sb="27" eb="29">
      <t>ニンイ</t>
    </rPh>
    <phoneticPr fontId="4"/>
  </si>
  <si>
    <t>エラー(0:OK or N/A,1:NG,6行目はチェックの1:有効0:無効)</t>
    <rPh sb="22" eb="24">
      <t>ギョウメ</t>
    </rPh>
    <rPh sb="32" eb="34">
      <t>ユウコウ</t>
    </rPh>
    <rPh sb="36" eb="38">
      <t>ムコウ</t>
    </rPh>
    <phoneticPr fontId="4"/>
  </si>
  <si>
    <t>↓チェックエラー時の料金部分表示</t>
    <rPh sb="8" eb="9">
      <t>ジ</t>
    </rPh>
    <rPh sb="10" eb="12">
      <t>リョウキン</t>
    </rPh>
    <rPh sb="12" eb="14">
      <t>ブブン</t>
    </rPh>
    <rPh sb="14" eb="16">
      <t>ヒョウジ</t>
    </rPh>
    <phoneticPr fontId="3"/>
  </si>
  <si>
    <t>要修正</t>
    <rPh sb="0" eb="1">
      <t>ヨウ</t>
    </rPh>
    <rPh sb="1" eb="3">
      <t>シュウセイ</t>
    </rPh>
    <phoneticPr fontId="3"/>
  </si>
  <si>
    <t>入金日</t>
    <rPh sb="0" eb="3">
      <t>ニュウキンビ</t>
    </rPh>
    <phoneticPr fontId="4"/>
  </si>
  <si>
    <t>入金額</t>
    <rPh sb="0" eb="3">
      <t>ニュウキンガク</t>
    </rPh>
    <phoneticPr fontId="4"/>
  </si>
  <si>
    <t>入金日1</t>
    <rPh sb="0" eb="3">
      <t>ニュウキンビ</t>
    </rPh>
    <phoneticPr fontId="4"/>
  </si>
  <si>
    <t>入金名義1</t>
    <rPh sb="0" eb="2">
      <t>ニュウキン</t>
    </rPh>
    <rPh sb="2" eb="4">
      <t>メイギ</t>
    </rPh>
    <phoneticPr fontId="4"/>
  </si>
  <si>
    <t>入金額1</t>
    <rPh sb="0" eb="3">
      <t>ニュウキンガク</t>
    </rPh>
    <phoneticPr fontId="4"/>
  </si>
  <si>
    <t>入金日2</t>
    <rPh sb="0" eb="3">
      <t>ニュウキンビ</t>
    </rPh>
    <phoneticPr fontId="4"/>
  </si>
  <si>
    <t>入金名義2</t>
    <rPh sb="0" eb="2">
      <t>ニュウキン</t>
    </rPh>
    <rPh sb="2" eb="4">
      <t>メイギ</t>
    </rPh>
    <phoneticPr fontId="4"/>
  </si>
  <si>
    <t>入金額2</t>
    <rPh sb="0" eb="3">
      <t>ニュウキンガク</t>
    </rPh>
    <phoneticPr fontId="4"/>
  </si>
  <si>
    <t>入金日3</t>
    <rPh sb="0" eb="3">
      <t>ニュウキンビ</t>
    </rPh>
    <phoneticPr fontId="4"/>
  </si>
  <si>
    <t>入金名義3</t>
    <rPh sb="0" eb="2">
      <t>ニュウキン</t>
    </rPh>
    <rPh sb="2" eb="4">
      <t>メイギ</t>
    </rPh>
    <phoneticPr fontId="4"/>
  </si>
  <si>
    <t>入金額3</t>
    <rPh sb="0" eb="3">
      <t>ニュウキンガク</t>
    </rPh>
    <phoneticPr fontId="4"/>
  </si>
  <si>
    <t>Y</t>
    <phoneticPr fontId="4"/>
  </si>
  <si>
    <t>競技
ID</t>
    <rPh sb="0" eb="2">
      <t>キョウギ</t>
    </rPh>
    <phoneticPr fontId="4"/>
  </si>
  <si>
    <t>開催日</t>
    <rPh sb="0" eb="3">
      <t>カイサイビ</t>
    </rPh>
    <phoneticPr fontId="4"/>
  </si>
  <si>
    <t>Day</t>
    <phoneticPr fontId="4"/>
  </si>
  <si>
    <t>シートバージョン</t>
    <phoneticPr fontId="4"/>
  </si>
  <si>
    <t>20220627a</t>
    <phoneticPr fontId="4"/>
  </si>
  <si>
    <r>
      <t>・まず、</t>
    </r>
    <r>
      <rPr>
        <sz val="12"/>
        <color rgb="FF0070C0"/>
        <rFont val="游ゴシック"/>
        <family val="3"/>
        <charset val="128"/>
        <scheme val="minor"/>
      </rPr>
      <t>「団体登録」、「選手登録」、「馬匹登録」</t>
    </r>
    <r>
      <rPr>
        <sz val="11"/>
        <color theme="1"/>
        <rFont val="游ゴシック"/>
        <family val="2"/>
        <scheme val="minor"/>
      </rPr>
      <t>の各シートのクリーム色の部分を入力してください。</t>
    </r>
    <rPh sb="5" eb="7">
      <t>ダンタイ</t>
    </rPh>
    <rPh sb="7" eb="9">
      <t>トウロク</t>
    </rPh>
    <rPh sb="12" eb="14">
      <t>センシュ</t>
    </rPh>
    <rPh sb="14" eb="16">
      <t>トウロク</t>
    </rPh>
    <rPh sb="19" eb="21">
      <t>バヒツ</t>
    </rPh>
    <rPh sb="21" eb="23">
      <t>トウロク</t>
    </rPh>
    <rPh sb="25" eb="26">
      <t>カク</t>
    </rPh>
    <rPh sb="34" eb="35">
      <t>イロ</t>
    </rPh>
    <rPh sb="36" eb="38">
      <t>ブブン</t>
    </rPh>
    <rPh sb="39" eb="41">
      <t>ニュウリョク</t>
    </rPh>
    <phoneticPr fontId="4"/>
  </si>
  <si>
    <t>選手名(*1)</t>
    <rPh sb="0" eb="3">
      <t>センシュメイ</t>
    </rPh>
    <phoneticPr fontId="4"/>
  </si>
  <si>
    <t>フリガナ(*1)</t>
    <phoneticPr fontId="4"/>
  </si>
  <si>
    <t>第2競技場</t>
  </si>
  <si>
    <t>C</t>
    <phoneticPr fontId="4"/>
  </si>
  <si>
    <t>フレンドシップ60</t>
    <phoneticPr fontId="4"/>
  </si>
  <si>
    <t>フレンドシップ80</t>
    <phoneticPr fontId="4"/>
  </si>
  <si>
    <t>フレンドシップ100</t>
    <phoneticPr fontId="4"/>
  </si>
  <si>
    <t>小障害 70cmクラス</t>
  </si>
  <si>
    <t>小障害 80cmクラス</t>
  </si>
  <si>
    <t>小障害 90cmクラス</t>
  </si>
  <si>
    <t>ビギナーズジャンプ</t>
  </si>
  <si>
    <t>小障害 60cmクラス</t>
  </si>
  <si>
    <t>ジムカーナ</t>
  </si>
  <si>
    <t>一般</t>
    <rPh sb="0" eb="2">
      <t>イッパン</t>
    </rPh>
    <phoneticPr fontId="17"/>
  </si>
  <si>
    <t>第2課目C馬場馬術競技</t>
  </si>
  <si>
    <t>第2課目B馬場馬術競技</t>
  </si>
  <si>
    <t>第2課目A馬場馬術競技</t>
  </si>
  <si>
    <t>公認</t>
    <rPh sb="0" eb="2">
      <t>コウニン</t>
    </rPh>
    <phoneticPr fontId="17"/>
  </si>
  <si>
    <t>JBG キャロット選手権(馬場)</t>
  </si>
  <si>
    <t>第3課目A馬場馬術競技</t>
  </si>
  <si>
    <t>JBG キャロット選手権 (障害)</t>
  </si>
  <si>
    <t>第3課目A馬術競技</t>
  </si>
  <si>
    <t>第4課目A馬術競技</t>
  </si>
  <si>
    <t>第5課目A馬場馬術競技</t>
  </si>
  <si>
    <t>ジムカーナ競技</t>
  </si>
  <si>
    <t>第3課目B馬場馬術競技</t>
  </si>
  <si>
    <t>第4課目B馬場馬術競技</t>
  </si>
  <si>
    <t>部班馬場馬術競技 (駈歩)</t>
  </si>
  <si>
    <t>第３課目A、社馬連会員のみ</t>
    <rPh sb="0" eb="1">
      <t>ダイ</t>
    </rPh>
    <phoneticPr fontId="4"/>
  </si>
  <si>
    <t>FEI グランプリ馬場馬術課目 2009（2014年改定・2022年更新版）</t>
  </si>
  <si>
    <t>FEI グランプリスペシャル馬場馬術課目 2009（2014年改定・2022年更新版）</t>
  </si>
  <si>
    <t>FEIショートグランプリ馬場馬術課目 2021（2022年更新版）</t>
  </si>
  <si>
    <t>FEI 自由演技グランプリ馬場馬術課目 1999（2009年改定・2022年更新版）</t>
  </si>
  <si>
    <t>FEIインターメディエイトⅡ馬場馬術課目 2009（2022年更新版）</t>
  </si>
  <si>
    <t>FEI インターメディエイトⅠ馬場馬術課目 2009（2022年更新版）</t>
  </si>
  <si>
    <t>FEI 自由演技インターメディエイトⅠ馬場馬術課目 1998（2009年改定・2022年更新版）</t>
  </si>
  <si>
    <t>FEI セントジョージ賞典馬場馬術課目 2009（2022年更新版）</t>
  </si>
  <si>
    <t>FEI ヤングライダー個人競技馬場馬術課目 2009（2022年更新版）</t>
  </si>
  <si>
    <t>FEI 自由演技ヤングライダー馬場馬術課目 2006（2009年改定・2022年更新版）</t>
  </si>
  <si>
    <t>FEI ジュニアライダー個人競技馬場馬術課目 2009（2022年更新版）</t>
  </si>
  <si>
    <t>FEI 自由演技ジュニアライダー馬場馬術課目 2006（2009年改定・2022年更新版）</t>
  </si>
  <si>
    <t>JEF 自由演技国体成年馬場馬術課目 （2022年更新版）</t>
  </si>
  <si>
    <t>JEF 馬場馬術競技 第5課目B 2022</t>
  </si>
  <si>
    <t>JEF 馬場馬術競技 第5課目A 2022</t>
  </si>
  <si>
    <t>JEF 馬場馬術競技 第4課目B 2022</t>
  </si>
  <si>
    <t>JEF 馬場馬術競技 第4課目A 2022</t>
  </si>
  <si>
    <t>JEF 馬場馬術競技 第3課目B 2022</t>
  </si>
  <si>
    <t>JEF 馬場馬術競技 第3課目A 2022</t>
  </si>
  <si>
    <t>JEF 馬場馬術競技 第2課目E 2022</t>
  </si>
  <si>
    <t>JEF 馬場馬術競技 第2課目D 2022</t>
  </si>
  <si>
    <t>JEF 馬場馬術競技 第2課目C 2022</t>
  </si>
  <si>
    <t>JEF 馬場馬術競技 第2課目B 2022</t>
  </si>
  <si>
    <t>JEF 馬場馬術競技 第2課目A 2022</t>
  </si>
  <si>
    <t>JEF 馬場馬術競技 第1課目 2022</t>
  </si>
  <si>
    <t>FEI 総合馬術競技オリンピック 馬場馬術課目</t>
  </si>
  <si>
    <t>FEI 総合馬術競技5スター 2021 馬場馬術課目 A</t>
  </si>
  <si>
    <t>FEI 総合馬術競技５スター 2021 馬場馬術課目 B</t>
  </si>
  <si>
    <t>FEI 総合馬術競技4スター 2021 馬場馬術課目 A</t>
  </si>
  <si>
    <t>FEI 総合馬術競技4スター 2021 馬場馬術課目 B</t>
  </si>
  <si>
    <t>FEI 総合馬術競技3スター 2021 馬場馬術課目 A</t>
  </si>
  <si>
    <t>FEI 総合馬術競技3スター 2021 馬場馬術課目 B</t>
  </si>
  <si>
    <t>FEI 総合馬術競技2スター 2021 馬場馬術課目 A</t>
  </si>
  <si>
    <t>FEI 総合馬術競技2スター 2021 馬場馬術課目 B</t>
  </si>
  <si>
    <t>FEI 総合馬術競技1スター 2022 馬場馬術課目</t>
  </si>
  <si>
    <t>JEF 総合馬術上級課目2020</t>
  </si>
  <si>
    <t>JEF 総合馬術中級課目2020</t>
  </si>
  <si>
    <t>JEF 総合馬術初級課目2020 A</t>
  </si>
  <si>
    <t>JEF 総合馬術初級課目2020 B</t>
  </si>
  <si>
    <r>
      <t xml:space="preserve">選手区分
</t>
    </r>
    <r>
      <rPr>
        <sz val="9"/>
        <color theme="1"/>
        <rFont val="游ゴシック"/>
        <family val="3"/>
        <charset val="128"/>
        <scheme val="minor"/>
      </rPr>
      <t xml:space="preserve">(一般・学生・社馬連等)
</t>
    </r>
    <r>
      <rPr>
        <b/>
        <sz val="9"/>
        <color rgb="FFFF00FF"/>
        <rFont val="游ゴシック"/>
        <family val="3"/>
        <charset val="128"/>
        <scheme val="minor"/>
      </rPr>
      <t>プロの方は、「プロ・インストラクタ」を選択して下さい</t>
    </r>
    <rPh sb="0" eb="2">
      <t>センシュ</t>
    </rPh>
    <rPh sb="2" eb="4">
      <t>クブン</t>
    </rPh>
    <rPh sb="6" eb="8">
      <t>イッパン</t>
    </rPh>
    <rPh sb="9" eb="11">
      <t>ガクセイ</t>
    </rPh>
    <rPh sb="12" eb="15">
      <t>シャバレン</t>
    </rPh>
    <rPh sb="15" eb="16">
      <t>トウ</t>
    </rPh>
    <rPh sb="21" eb="22">
      <t>カタ</t>
    </rPh>
    <rPh sb="37" eb="39">
      <t>センタク</t>
    </rPh>
    <rPh sb="41" eb="42">
      <t>クダ</t>
    </rPh>
    <phoneticPr fontId="4"/>
  </si>
  <si>
    <t>プロ・インストラクター・スタッフの方は「一般」での出場はできません。</t>
    <rPh sb="17" eb="18">
      <t>カタ</t>
    </rPh>
    <rPh sb="20" eb="22">
      <t>イッパン</t>
    </rPh>
    <rPh sb="25" eb="27">
      <t>シュツジョウ</t>
    </rPh>
    <phoneticPr fontId="4"/>
  </si>
  <si>
    <r>
      <t xml:space="preserve">日馬連登録番号
</t>
    </r>
    <r>
      <rPr>
        <b/>
        <sz val="9"/>
        <color theme="1"/>
        <rFont val="游ゴシック"/>
        <family val="3"/>
        <charset val="128"/>
        <scheme val="minor"/>
      </rPr>
      <t>(公認競技用)</t>
    </r>
    <rPh sb="0" eb="3">
      <t>ニチバレン</t>
    </rPh>
    <rPh sb="3" eb="5">
      <t>トウロク</t>
    </rPh>
    <rPh sb="5" eb="7">
      <t>バンゴウ</t>
    </rPh>
    <rPh sb="9" eb="11">
      <t>コウニン</t>
    </rPh>
    <rPh sb="11" eb="13">
      <t>キョウギ</t>
    </rPh>
    <rPh sb="13" eb="14">
      <t>ヨウ</t>
    </rPh>
    <phoneticPr fontId="4"/>
  </si>
  <si>
    <t>振込後に記載</t>
    <rPh sb="0" eb="2">
      <t>フリコミ</t>
    </rPh>
    <rPh sb="2" eb="3">
      <t>ゴ</t>
    </rPh>
    <rPh sb="4" eb="6">
      <t>キサイ</t>
    </rPh>
    <phoneticPr fontId="4"/>
  </si>
  <si>
    <t>振込人の名前</t>
    <rPh sb="0" eb="3">
      <t>フリコミニン</t>
    </rPh>
    <rPh sb="4" eb="6">
      <t>ナマエ</t>
    </rPh>
    <phoneticPr fontId="4"/>
  </si>
  <si>
    <r>
      <t>・ その後、</t>
    </r>
    <r>
      <rPr>
        <sz val="12"/>
        <color theme="9" tint="-0.249977111117893"/>
        <rFont val="游ゴシック"/>
        <family val="3"/>
        <charset val="128"/>
        <scheme val="minor"/>
      </rPr>
      <t>「エントリー」</t>
    </r>
    <r>
      <rPr>
        <sz val="11"/>
        <color theme="1"/>
        <rFont val="游ゴシック"/>
        <family val="2"/>
        <scheme val="minor"/>
      </rPr>
      <t>シートのクリーム色の部分にエントリーを入力してください。</t>
    </r>
    <rPh sb="4" eb="5">
      <t>ゴ</t>
    </rPh>
    <rPh sb="21" eb="22">
      <t>イロ</t>
    </rPh>
    <rPh sb="23" eb="25">
      <t>ブブン</t>
    </rPh>
    <rPh sb="32" eb="34">
      <t>ニュウリョク</t>
    </rPh>
    <phoneticPr fontId="4"/>
  </si>
  <si>
    <t>　（自由選択課目競技は選択課目を通信欄に記入してください。）</t>
    <phoneticPr fontId="4"/>
  </si>
  <si>
    <t>・委任状は、印刷して、日付記入・署名・捺印してください。</t>
    <rPh sb="1" eb="4">
      <t>イニンジョウ</t>
    </rPh>
    <rPh sb="6" eb="8">
      <t>インサツ</t>
    </rPh>
    <rPh sb="11" eb="13">
      <t>ヒヅケ</t>
    </rPh>
    <rPh sb="13" eb="15">
      <t>キニュウ</t>
    </rPh>
    <rPh sb="16" eb="18">
      <t>ショメイ</t>
    </rPh>
    <rPh sb="19" eb="21">
      <t>ナツイン</t>
    </rPh>
    <phoneticPr fontId="4"/>
  </si>
  <si>
    <t>　まとめて、日本社会人団体馬術連盟 事務局まで郵送、または打ち合わせ会 会場で提出してください。</t>
    <phoneticPr fontId="4"/>
  </si>
  <si>
    <t>変更受付期間 (エントリー締切り後)</t>
    <rPh sb="0" eb="2">
      <t>ヘンコウ</t>
    </rPh>
    <rPh sb="2" eb="4">
      <t>ウケツケ</t>
    </rPh>
    <rPh sb="4" eb="6">
      <t>キカン</t>
    </rPh>
    <rPh sb="13" eb="14">
      <t>シ</t>
    </rPh>
    <rPh sb="14" eb="15">
      <t>キ</t>
    </rPh>
    <rPh sb="16" eb="17">
      <t>ゴ</t>
    </rPh>
    <phoneticPr fontId="4"/>
  </si>
  <si>
    <t>・変更受付期間中の変更も、エントリーシートを編集の上、変更点を通信欄に記入して提出してください。</t>
    <rPh sb="1" eb="3">
      <t>ヘンコウ</t>
    </rPh>
    <rPh sb="3" eb="5">
      <t>ウケツケ</t>
    </rPh>
    <rPh sb="5" eb="8">
      <t>キカンチュウ</t>
    </rPh>
    <rPh sb="9" eb="11">
      <t>ヘンコウ</t>
    </rPh>
    <phoneticPr fontId="4"/>
  </si>
  <si>
    <t>　エントリー状況によっては、追加・変更等を受け付けない場合があります。</t>
    <rPh sb="6" eb="8">
      <t>ジョウキョウ</t>
    </rPh>
    <rPh sb="14" eb="16">
      <t>ツイカ</t>
    </rPh>
    <rPh sb="17" eb="19">
      <t>ヘンコウ</t>
    </rPh>
    <rPh sb="19" eb="20">
      <t>トウ</t>
    </rPh>
    <rPh sb="21" eb="22">
      <t>ウ</t>
    </rPh>
    <rPh sb="23" eb="24">
      <t>ツ</t>
    </rPh>
    <rPh sb="27" eb="29">
      <t>バアイ</t>
    </rPh>
    <phoneticPr fontId="4"/>
  </si>
  <si>
    <t>選手及び関係者、来場者(応援・家族等含む)は、試合当日までの体調管理に気を付けていただき、試合当日に体調不良であった場合は、来場、試合出場を控えるようにして下さい。</t>
    <rPh sb="8" eb="11">
      <t>ライジョウシャ</t>
    </rPh>
    <rPh sb="12" eb="14">
      <t>オウエン</t>
    </rPh>
    <rPh sb="15" eb="17">
      <t>カゾク</t>
    </rPh>
    <rPh sb="17" eb="18">
      <t>トウ</t>
    </rPh>
    <rPh sb="18" eb="19">
      <t>フク</t>
    </rPh>
    <rPh sb="23" eb="27">
      <t>シアイトウジツ</t>
    </rPh>
    <rPh sb="30" eb="32">
      <t>タイチョウ</t>
    </rPh>
    <rPh sb="32" eb="34">
      <t>カンリ</t>
    </rPh>
    <rPh sb="35" eb="36">
      <t>キ</t>
    </rPh>
    <rPh sb="37" eb="38">
      <t>ツ</t>
    </rPh>
    <rPh sb="45" eb="49">
      <t>シアイトウジツ</t>
    </rPh>
    <rPh sb="50" eb="52">
      <t>タイチョウ</t>
    </rPh>
    <rPh sb="52" eb="54">
      <t>フリョウ</t>
    </rPh>
    <rPh sb="58" eb="60">
      <t>バアイ</t>
    </rPh>
    <rPh sb="62" eb="64">
      <t>ライジョウ</t>
    </rPh>
    <rPh sb="65" eb="67">
      <t>シアイ</t>
    </rPh>
    <rPh sb="67" eb="69">
      <t>シュツジョウ</t>
    </rPh>
    <rPh sb="70" eb="71">
      <t>ヒカ</t>
    </rPh>
    <rPh sb="78" eb="79">
      <t>クダ</t>
    </rPh>
    <phoneticPr fontId="4"/>
  </si>
  <si>
    <t>(4) 申込人数によっては相部屋となりますのでご了承ください。</t>
    <phoneticPr fontId="4"/>
  </si>
  <si>
    <t>月</t>
    <rPh sb="0" eb="1">
      <t>ゲツ</t>
    </rPh>
    <phoneticPr fontId="4"/>
  </si>
  <si>
    <t>メール(任意)</t>
    <rPh sb="4" eb="6">
      <t>ニンイ</t>
    </rPh>
    <phoneticPr fontId="3"/>
  </si>
  <si>
    <r>
      <t xml:space="preserve">(3) </t>
    </r>
    <r>
      <rPr>
        <u/>
        <sz val="11"/>
        <color theme="1"/>
        <rFont val="游ゴシック"/>
        <family val="3"/>
        <charset val="128"/>
        <scheme val="minor"/>
      </rPr>
      <t>未成年者のご宿泊はご遠慮ください。</t>
    </r>
    <rPh sb="4" eb="8">
      <t>ミセイネンシャ</t>
    </rPh>
    <rPh sb="10" eb="12">
      <t>シュクハク</t>
    </rPh>
    <rPh sb="14" eb="16">
      <t>エンリョ</t>
    </rPh>
    <phoneticPr fontId="4"/>
  </si>
  <si>
    <t>ホースマネージャー棟は20名まで宿泊可能です。定員になり次第、締切り致します。(2人部屋×6室・4人部屋×2室)　</t>
    <phoneticPr fontId="4"/>
  </si>
  <si>
    <t>(5) 原則として参加団体ごと各１名の利用とさせていただきます。</t>
    <phoneticPr fontId="4"/>
  </si>
  <si>
    <t>馬旅賞　引退競走馬杯 (障害)</t>
    <rPh sb="12" eb="14">
      <t>ショウガイ</t>
    </rPh>
    <phoneticPr fontId="4"/>
  </si>
  <si>
    <t>引退競走馬杯 (馬場)</t>
    <rPh sb="8" eb="10">
      <t>ババ</t>
    </rPh>
    <phoneticPr fontId="4"/>
  </si>
  <si>
    <t>最終伝貧
検査日(※)</t>
    <rPh sb="0" eb="2">
      <t>サイシュウ</t>
    </rPh>
    <rPh sb="2" eb="3">
      <t>デン</t>
    </rPh>
    <rPh sb="3" eb="4">
      <t>ピン</t>
    </rPh>
    <rPh sb="5" eb="8">
      <t>ケンサビ</t>
    </rPh>
    <phoneticPr fontId="4"/>
  </si>
  <si>
    <t>（※）伝貧検査日について：当該馬匹が輸入馬で、伝貧検査を受けていた場合は、最終伝貧検査日をご記載ください</t>
    <rPh sb="15" eb="17">
      <t>バヒツ</t>
    </rPh>
    <rPh sb="18" eb="20">
      <t>ユニュウ</t>
    </rPh>
    <rPh sb="33" eb="35">
      <t>バアイ</t>
    </rPh>
    <rPh sb="37" eb="39">
      <t>サイシュウ</t>
    </rPh>
    <phoneticPr fontId="4"/>
  </si>
  <si>
    <t>都庁・特別区乗馬部</t>
    <phoneticPr fontId="4"/>
  </si>
  <si>
    <t>TOPPAN エッジ(株)馬術部</t>
  </si>
  <si>
    <t>クリエイティブテクノロジー乗馬愛好部</t>
  </si>
  <si>
    <t>日本電気保安協会馬術部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</si>
</sst>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5" formatCode="&quot;¥&quot;#,##0;&quot;¥&quot;\-#,##0"/>
    <numFmt numFmtId="176" formatCode="yyyy&quot;年&quot;m&quot;月&quot;d&quot;日&quot;;@"/>
    <numFmt numFmtId="177" formatCode="0\ &quot;頭&quot;"/>
    <numFmt numFmtId="178" formatCode="0\ &quot;エントリ&quot;"/>
    <numFmt numFmtId="179" formatCode="0&quot;年&quot;"/>
    <numFmt numFmtId="180" formatCode="0&quot;月&quot;"/>
    <numFmt numFmtId="181" formatCode="0&quot;日&quot;"/>
    <numFmt numFmtId="182" formatCode="0&quot;時&quot;"/>
    <numFmt numFmtId="183" formatCode="#,###\ &quot;円/頭&quot;"/>
    <numFmt numFmtId="184" formatCode="[$-F800]dddd\,\ mmmm\ dd\,\ yyyy"/>
    <numFmt numFmtId="185" formatCode="m&quot;月&quot;d&quot;日&quot;;@"/>
    <numFmt numFmtId="186" formatCode="&quot;¥&quot;#,##0_);\(&quot;¥&quot;#,##0\)"/>
  </numFmts>
  <fonts count="48" x14ac:knownFonts="1">
    <font>
      <sz val="11"/>
      <color theme="1"/>
      <name val="游ゴシック"/>
      <family val="2"/>
      <scheme val="minor"/>
    </font>
    <font>
      <sz val="11"/>
      <color theme="1"/>
      <name val="游ゴシック"/>
      <family val="2"/>
      <charset val="128"/>
      <scheme val="minor"/>
    </font>
    <font>
      <sz val="11"/>
      <color theme="1"/>
      <name val="游ゴシック"/>
      <family val="2"/>
      <scheme val="minor"/>
    </font>
    <font>
      <b/>
      <sz val="11"/>
      <color theme="3"/>
      <name val="游ゴシック"/>
      <family val="2"/>
      <charset val="128"/>
      <scheme val="minor"/>
    </font>
    <font>
      <sz val="6"/>
      <name val="游ゴシック"/>
      <family val="3"/>
      <charset val="128"/>
      <scheme val="minor"/>
    </font>
    <font>
      <sz val="11"/>
      <name val="游ゴシック"/>
      <family val="3"/>
      <charset val="128"/>
      <scheme val="minor"/>
    </font>
    <font>
      <sz val="10"/>
      <color theme="1"/>
      <name val="游ゴシック"/>
      <family val="2"/>
      <scheme val="minor"/>
    </font>
    <font>
      <sz val="10"/>
      <color theme="1"/>
      <name val="游ゴシック"/>
      <family val="3"/>
      <charset val="128"/>
      <scheme val="minor"/>
    </font>
    <font>
      <sz val="9"/>
      <color theme="1"/>
      <name val="游ゴシック"/>
      <family val="3"/>
      <charset val="128"/>
      <scheme val="minor"/>
    </font>
    <font>
      <sz val="9"/>
      <color theme="1"/>
      <name val="游ゴシック"/>
      <family val="2"/>
      <scheme val="minor"/>
    </font>
    <font>
      <sz val="12"/>
      <color theme="1"/>
      <name val="游ゴシック"/>
      <family val="2"/>
      <scheme val="minor"/>
    </font>
    <font>
      <b/>
      <sz val="14"/>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8"/>
      <color theme="1"/>
      <name val="游ゴシック"/>
      <family val="3"/>
      <charset val="128"/>
      <scheme val="minor"/>
    </font>
    <font>
      <sz val="10.5"/>
      <color rgb="FF000000"/>
      <name val="游ゴシック"/>
      <family val="3"/>
      <charset val="128"/>
      <scheme val="minor"/>
    </font>
    <font>
      <sz val="14"/>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sz val="14"/>
      <color theme="1"/>
      <name val="游ゴシック"/>
      <family val="2"/>
      <scheme val="minor"/>
    </font>
    <font>
      <b/>
      <u/>
      <sz val="11"/>
      <color theme="1"/>
      <name val="游ゴシック"/>
      <family val="3"/>
      <charset val="128"/>
      <scheme val="minor"/>
    </font>
    <font>
      <sz val="9"/>
      <color theme="1"/>
      <name val="Segoe UI Symbol"/>
      <family val="2"/>
    </font>
    <font>
      <sz val="11"/>
      <name val="游ゴシック"/>
      <family val="2"/>
      <scheme val="minor"/>
    </font>
    <font>
      <sz val="12"/>
      <name val="游ゴシック"/>
      <family val="2"/>
      <scheme val="minor"/>
    </font>
    <font>
      <b/>
      <sz val="11"/>
      <color theme="1"/>
      <name val="游ゴシック"/>
      <family val="3"/>
      <charset val="128"/>
      <scheme val="minor"/>
    </font>
    <font>
      <sz val="9"/>
      <color theme="1"/>
      <name val="ＭＳ Ｐゴシック"/>
      <family val="3"/>
      <charset val="128"/>
    </font>
    <font>
      <u/>
      <sz val="11"/>
      <color theme="10"/>
      <name val="游ゴシック"/>
      <family val="2"/>
      <scheme val="minor"/>
    </font>
    <font>
      <sz val="6"/>
      <color theme="1"/>
      <name val="游ゴシック"/>
      <family val="3"/>
      <charset val="128"/>
      <scheme val="minor"/>
    </font>
    <font>
      <b/>
      <u/>
      <sz val="14"/>
      <color rgb="FF0000FF"/>
      <name val="游ゴシック"/>
      <family val="3"/>
      <charset val="128"/>
      <scheme val="minor"/>
    </font>
    <font>
      <b/>
      <sz val="14"/>
      <color theme="1"/>
      <name val="ＭＳ Ｐゴシック"/>
      <family val="3"/>
      <charset val="128"/>
    </font>
    <font>
      <sz val="11"/>
      <color theme="1"/>
      <name val="ＭＳ Ｐゴシック"/>
      <family val="3"/>
      <charset val="128"/>
    </font>
    <font>
      <b/>
      <sz val="12"/>
      <color theme="1"/>
      <name val="ＭＳ Ｐゴシック"/>
      <family val="3"/>
      <charset val="128"/>
    </font>
    <font>
      <b/>
      <sz val="11"/>
      <color theme="1"/>
      <name val="ＭＳ Ｐゴシック"/>
      <family val="3"/>
      <charset val="128"/>
    </font>
    <font>
      <b/>
      <u/>
      <sz val="14"/>
      <color rgb="FF0000FF"/>
      <name val="ＭＳ Ｐゴシック"/>
      <family val="3"/>
      <charset val="128"/>
    </font>
    <font>
      <sz val="10"/>
      <color theme="1"/>
      <name val="ＭＳ Ｐゴシック"/>
      <family val="3"/>
      <charset val="128"/>
    </font>
    <font>
      <b/>
      <sz val="11"/>
      <color rgb="FF0000FF"/>
      <name val="游ゴシック"/>
      <family val="3"/>
      <charset val="128"/>
      <scheme val="minor"/>
    </font>
    <font>
      <sz val="6"/>
      <name val="游ゴシック"/>
      <family val="2"/>
      <charset val="128"/>
      <scheme val="minor"/>
    </font>
    <font>
      <sz val="8"/>
      <color theme="1"/>
      <name val="游ゴシック"/>
      <family val="2"/>
      <scheme val="minor"/>
    </font>
    <font>
      <b/>
      <u/>
      <sz val="11"/>
      <color rgb="FF0000FF"/>
      <name val="游ゴシック"/>
      <family val="3"/>
      <charset val="128"/>
      <scheme val="minor"/>
    </font>
    <font>
      <sz val="12"/>
      <color rgb="FF0070C0"/>
      <name val="游ゴシック"/>
      <family val="3"/>
      <charset val="128"/>
      <scheme val="minor"/>
    </font>
    <font>
      <sz val="12"/>
      <color theme="9" tint="-0.249977111117893"/>
      <name val="游ゴシック"/>
      <family val="3"/>
      <charset val="128"/>
      <scheme val="minor"/>
    </font>
    <font>
      <b/>
      <sz val="9"/>
      <color rgb="FFFF00FF"/>
      <name val="游ゴシック"/>
      <family val="3"/>
      <charset val="128"/>
      <scheme val="minor"/>
    </font>
    <font>
      <b/>
      <sz val="9"/>
      <color theme="1"/>
      <name val="游ゴシック"/>
      <family val="3"/>
      <charset val="128"/>
      <scheme val="minor"/>
    </font>
    <font>
      <b/>
      <u/>
      <sz val="16"/>
      <color theme="1"/>
      <name val="游ゴシック"/>
      <family val="3"/>
      <charset val="128"/>
      <scheme val="minor"/>
    </font>
    <font>
      <sz val="16"/>
      <color theme="1"/>
      <name val="游ゴシック"/>
      <family val="3"/>
      <charset val="128"/>
      <scheme val="minor"/>
    </font>
    <font>
      <b/>
      <sz val="12"/>
      <color rgb="FF0000FF"/>
      <name val="游ゴシック"/>
      <family val="3"/>
      <charset val="128"/>
      <scheme val="minor"/>
    </font>
    <font>
      <u/>
      <sz val="11"/>
      <color theme="1"/>
      <name val="游ゴシック"/>
      <family val="3"/>
      <charset val="128"/>
      <scheme val="minor"/>
    </font>
    <font>
      <b/>
      <sz val="16"/>
      <color theme="1"/>
      <name val="HG丸ｺﾞｼｯｸM-PRO"/>
      <family val="3"/>
      <charset val="128"/>
    </font>
  </fonts>
  <fills count="3">
    <fill>
      <patternFill patternType="none"/>
    </fill>
    <fill>
      <patternFill patternType="gray125"/>
    </fill>
    <fill>
      <patternFill patternType="solid">
        <fgColor theme="7" tint="0.79998168889431442"/>
        <bgColor indexed="64"/>
      </patternFill>
    </fill>
  </fills>
  <borders count="125">
    <border>
      <left/>
      <right/>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medium">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medium">
        <color auto="1"/>
      </left>
      <right style="hair">
        <color auto="1"/>
      </right>
      <top style="thin">
        <color auto="1"/>
      </top>
      <bottom/>
      <diagonal/>
    </border>
    <border>
      <left style="medium">
        <color auto="1"/>
      </left>
      <right style="hair">
        <color auto="1"/>
      </right>
      <top/>
      <bottom/>
      <diagonal/>
    </border>
    <border>
      <left style="medium">
        <color auto="1"/>
      </left>
      <right style="hair">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bottom/>
      <diagonal/>
    </border>
    <border>
      <left style="medium">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right/>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medium">
        <color auto="1"/>
      </bottom>
      <diagonal/>
    </border>
    <border>
      <left style="hair">
        <color auto="1"/>
      </left>
      <right style="thin">
        <color auto="1"/>
      </right>
      <top style="thin">
        <color auto="1"/>
      </top>
      <bottom style="medium">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thin">
        <color auto="1"/>
      </left>
      <right style="medium">
        <color auto="1"/>
      </right>
      <top/>
      <bottom style="thin">
        <color auto="1"/>
      </bottom>
      <diagonal/>
    </border>
    <border>
      <left style="hair">
        <color auto="1"/>
      </left>
      <right style="hair">
        <color auto="1"/>
      </right>
      <top/>
      <bottom/>
      <diagonal/>
    </border>
    <border>
      <left style="hair">
        <color auto="1"/>
      </left>
      <right style="medium">
        <color auto="1"/>
      </right>
      <top/>
      <bottom/>
      <diagonal/>
    </border>
    <border>
      <left style="medium">
        <color auto="1"/>
      </left>
      <right style="thin">
        <color auto="1"/>
      </right>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bottom/>
      <diagonal/>
    </border>
    <border>
      <left style="thin">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hair">
        <color auto="1"/>
      </top>
      <bottom style="medium">
        <color auto="1"/>
      </bottom>
      <diagonal/>
    </border>
    <border>
      <left/>
      <right style="thin">
        <color auto="1"/>
      </right>
      <top style="thin">
        <color auto="1"/>
      </top>
      <bottom style="thin">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style="hair">
        <color auto="1"/>
      </right>
      <top style="thin">
        <color auto="1"/>
      </top>
      <bottom style="hair">
        <color auto="1"/>
      </bottom>
      <diagonal/>
    </border>
    <border>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right/>
      <top style="thin">
        <color auto="1"/>
      </top>
      <bottom/>
      <diagonal/>
    </border>
    <border>
      <left style="hair">
        <color auto="1"/>
      </left>
      <right style="hair">
        <color auto="1"/>
      </right>
      <top/>
      <bottom style="medium">
        <color auto="1"/>
      </bottom>
      <diagonal/>
    </border>
    <border>
      <left/>
      <right/>
      <top/>
      <bottom style="medium">
        <color auto="1"/>
      </bottom>
      <diagonal/>
    </border>
    <border>
      <left/>
      <right/>
      <top style="thin">
        <color auto="1"/>
      </top>
      <bottom style="double">
        <color auto="1"/>
      </bottom>
      <diagonal/>
    </border>
    <border>
      <left/>
      <right/>
      <top style="double">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right style="medium">
        <color auto="1"/>
      </right>
      <top style="thin">
        <color auto="1"/>
      </top>
      <bottom style="double">
        <color auto="1"/>
      </bottom>
      <diagonal/>
    </border>
    <border>
      <left style="medium">
        <color auto="1"/>
      </left>
      <right/>
      <top style="double">
        <color auto="1"/>
      </top>
      <bottom style="medium">
        <color auto="1"/>
      </bottom>
      <diagonal/>
    </border>
    <border>
      <left/>
      <right style="medium">
        <color auto="1"/>
      </right>
      <top style="double">
        <color auto="1"/>
      </top>
      <bottom style="medium">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style="hair">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top style="thin">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right style="thin">
        <color auto="1"/>
      </right>
      <top style="thin">
        <color auto="1"/>
      </top>
      <bottom style="medium">
        <color auto="1"/>
      </bottom>
      <diagonal/>
    </border>
    <border>
      <left style="medium">
        <color auto="1"/>
      </left>
      <right/>
      <top/>
      <bottom/>
      <diagonal/>
    </border>
    <border>
      <left style="hair">
        <color indexed="64"/>
      </left>
      <right style="hair">
        <color indexed="64"/>
      </right>
      <top style="hair">
        <color indexed="64"/>
      </top>
      <bottom style="hair">
        <color indexed="64"/>
      </bottom>
      <diagonal/>
    </border>
    <border>
      <left style="hair">
        <color auto="1"/>
      </left>
      <right style="medium">
        <color auto="1"/>
      </right>
      <top/>
      <bottom style="medium">
        <color auto="1"/>
      </bottom>
      <diagonal/>
    </border>
    <border>
      <left style="hair">
        <color indexed="64"/>
      </left>
      <right style="medium">
        <color indexed="64"/>
      </right>
      <top style="hair">
        <color indexed="64"/>
      </top>
      <bottom style="hair">
        <color indexed="64"/>
      </bottom>
      <diagonal/>
    </border>
    <border>
      <left style="medium">
        <color indexed="64"/>
      </left>
      <right style="hair">
        <color auto="1"/>
      </right>
      <top style="medium">
        <color indexed="64"/>
      </top>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hair">
        <color auto="1"/>
      </left>
      <right style="medium">
        <color indexed="64"/>
      </right>
      <top style="medium">
        <color indexed="64"/>
      </top>
      <bottom/>
      <diagonal/>
    </border>
  </borders>
  <cellStyleXfs count="4">
    <xf numFmtId="0" fontId="0" fillId="0" borderId="0"/>
    <xf numFmtId="0" fontId="2" fillId="0" borderId="0"/>
    <xf numFmtId="0" fontId="26" fillId="0" borderId="0" applyNumberFormat="0" applyFill="0" applyBorder="0" applyAlignment="0" applyProtection="0"/>
    <xf numFmtId="0" fontId="1" fillId="0" borderId="0">
      <alignment vertical="center"/>
    </xf>
  </cellStyleXfs>
  <cellXfs count="616">
    <xf numFmtId="0" fontId="0" fillId="0" borderId="0" xfId="0"/>
    <xf numFmtId="0" fontId="0" fillId="0" borderId="0" xfId="0" applyAlignment="1">
      <alignment horizontal="center" vertical="center"/>
    </xf>
    <xf numFmtId="0" fontId="0" fillId="0" borderId="4" xfId="0" applyBorder="1" applyAlignment="1">
      <alignment horizontal="center" vertical="center"/>
    </xf>
    <xf numFmtId="0" fontId="0" fillId="0" borderId="4" xfId="0" applyBorder="1"/>
    <xf numFmtId="0" fontId="0" fillId="0" borderId="9" xfId="0" applyBorder="1" applyAlignment="1">
      <alignment horizontal="center" vertical="center"/>
    </xf>
    <xf numFmtId="0" fontId="0" fillId="0" borderId="9" xfId="0" applyBorder="1"/>
    <xf numFmtId="0" fontId="0" fillId="0" borderId="10" xfId="0" applyBorder="1"/>
    <xf numFmtId="0" fontId="0" fillId="0" borderId="7" xfId="0" applyBorder="1"/>
    <xf numFmtId="0" fontId="0" fillId="0" borderId="8" xfId="0" applyBorder="1"/>
    <xf numFmtId="0" fontId="0" fillId="0" borderId="34" xfId="0" applyBorder="1"/>
    <xf numFmtId="0" fontId="0" fillId="0" borderId="35" xfId="0" applyBorder="1"/>
    <xf numFmtId="0" fontId="0" fillId="0" borderId="37" xfId="0" applyBorder="1"/>
    <xf numFmtId="0" fontId="0" fillId="0" borderId="38" xfId="0" applyBorder="1"/>
    <xf numFmtId="0" fontId="0" fillId="0" borderId="34" xfId="0" applyBorder="1" applyAlignment="1">
      <alignment horizontal="center" vertical="center"/>
    </xf>
    <xf numFmtId="0" fontId="0" fillId="0" borderId="37" xfId="0" applyBorder="1" applyAlignment="1">
      <alignment horizontal="center" vertical="center"/>
    </xf>
    <xf numFmtId="0" fontId="5" fillId="0" borderId="9" xfId="0" applyFont="1" applyBorder="1" applyAlignment="1">
      <alignment vertical="center"/>
    </xf>
    <xf numFmtId="0" fontId="5" fillId="0" borderId="7" xfId="0" applyFont="1" applyBorder="1" applyAlignment="1">
      <alignment vertical="center"/>
    </xf>
    <xf numFmtId="0" fontId="5" fillId="0" borderId="34" xfId="0" applyFont="1" applyBorder="1" applyAlignment="1">
      <alignment vertical="center"/>
    </xf>
    <xf numFmtId="0" fontId="9" fillId="0" borderId="7" xfId="0" applyFont="1" applyBorder="1"/>
    <xf numFmtId="0" fontId="15" fillId="0" borderId="9" xfId="0" applyFont="1" applyBorder="1"/>
    <xf numFmtId="0" fontId="15" fillId="0" borderId="7" xfId="0" applyFont="1" applyBorder="1"/>
    <xf numFmtId="0" fontId="6" fillId="0" borderId="8" xfId="0" applyFont="1" applyBorder="1"/>
    <xf numFmtId="0" fontId="5" fillId="0" borderId="37" xfId="0" applyFont="1" applyBorder="1" applyAlignment="1">
      <alignment vertical="center"/>
    </xf>
    <xf numFmtId="0" fontId="0" fillId="0" borderId="0" xfId="0" applyAlignment="1">
      <alignment horizontal="right" vertical="center"/>
    </xf>
    <xf numFmtId="0" fontId="6" fillId="0" borderId="0" xfId="0" applyFont="1" applyAlignment="1">
      <alignment vertical="center"/>
    </xf>
    <xf numFmtId="0" fontId="6" fillId="0" borderId="35" xfId="0" applyFont="1" applyBorder="1"/>
    <xf numFmtId="0" fontId="0" fillId="0" borderId="14" xfId="0" applyBorder="1" applyAlignment="1">
      <alignment vertical="center"/>
    </xf>
    <xf numFmtId="0" fontId="0" fillId="0" borderId="14" xfId="0" applyBorder="1" applyAlignment="1">
      <alignment horizontal="center" vertical="center"/>
    </xf>
    <xf numFmtId="0" fontId="0" fillId="0" borderId="58" xfId="0" applyBorder="1"/>
    <xf numFmtId="0" fontId="0" fillId="0" borderId="40" xfId="0" applyBorder="1" applyAlignment="1" applyProtection="1">
      <alignment vertical="center"/>
      <protection locked="0"/>
    </xf>
    <xf numFmtId="0" fontId="0" fillId="0" borderId="34" xfId="0" applyBorder="1" applyAlignment="1" applyProtection="1">
      <alignment vertical="center"/>
      <protection locked="0"/>
    </xf>
    <xf numFmtId="0" fontId="0" fillId="0" borderId="34"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42" xfId="0" applyBorder="1" applyAlignment="1" applyProtection="1">
      <alignment vertical="center"/>
      <protection locked="0"/>
    </xf>
    <xf numFmtId="0" fontId="0" fillId="0" borderId="37" xfId="0" applyBorder="1" applyAlignment="1" applyProtection="1">
      <alignment vertical="center"/>
      <protection locked="0"/>
    </xf>
    <xf numFmtId="0" fontId="0" fillId="0" borderId="37"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40" xfId="0" applyBorder="1" applyAlignment="1" applyProtection="1">
      <alignment horizontal="right"/>
      <protection locked="0"/>
    </xf>
    <xf numFmtId="0" fontId="0" fillId="0" borderId="34" xfId="0" applyBorder="1" applyAlignment="1" applyProtection="1">
      <alignment horizontal="right"/>
      <protection locked="0"/>
    </xf>
    <xf numFmtId="0" fontId="0" fillId="0" borderId="41" xfId="0" applyBorder="1" applyAlignment="1" applyProtection="1">
      <alignment horizontal="right"/>
      <protection locked="0"/>
    </xf>
    <xf numFmtId="0" fontId="0" fillId="0" borderId="19" xfId="0" applyBorder="1" applyProtection="1">
      <protection locked="0"/>
    </xf>
    <xf numFmtId="0" fontId="0" fillId="0" borderId="22" xfId="0" applyBorder="1" applyProtection="1">
      <protection locked="0"/>
    </xf>
    <xf numFmtId="0" fontId="0" fillId="0" borderId="14" xfId="0" applyBorder="1"/>
    <xf numFmtId="0" fontId="0" fillId="0" borderId="14" xfId="0" applyBorder="1" applyAlignment="1">
      <alignment horizontal="center" vertical="center" wrapText="1"/>
    </xf>
    <xf numFmtId="0" fontId="0" fillId="0" borderId="0" xfId="0" applyAlignment="1">
      <alignment vertical="center"/>
    </xf>
    <xf numFmtId="0" fontId="0" fillId="0" borderId="39" xfId="0" applyBorder="1" applyAlignment="1">
      <alignment vertical="center"/>
    </xf>
    <xf numFmtId="0" fontId="0" fillId="0" borderId="63" xfId="0" applyBorder="1" applyAlignment="1">
      <alignment vertical="center"/>
    </xf>
    <xf numFmtId="0" fontId="10" fillId="0" borderId="0" xfId="0" applyFont="1" applyAlignment="1">
      <alignment vertical="center"/>
    </xf>
    <xf numFmtId="0" fontId="6" fillId="0" borderId="0" xfId="0" applyFont="1" applyAlignment="1">
      <alignment horizontal="center" vertical="center"/>
    </xf>
    <xf numFmtId="0" fontId="0" fillId="0" borderId="0" xfId="0" applyAlignment="1">
      <alignment horizontal="left" vertical="center"/>
    </xf>
    <xf numFmtId="0" fontId="0" fillId="0" borderId="0" xfId="0" applyAlignment="1">
      <alignment vertical="center" wrapText="1"/>
    </xf>
    <xf numFmtId="0" fontId="0" fillId="0" borderId="2" xfId="0" applyBorder="1" applyAlignment="1">
      <alignment vertical="center"/>
    </xf>
    <xf numFmtId="0" fontId="0" fillId="0" borderId="7" xfId="0" applyBorder="1" applyAlignment="1">
      <alignment vertical="center"/>
    </xf>
    <xf numFmtId="0" fontId="0" fillId="0" borderId="9"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8" fillId="2" borderId="14" xfId="0" applyFont="1" applyFill="1" applyBorder="1" applyAlignment="1" applyProtection="1">
      <alignment horizontal="center" vertical="center" shrinkToFit="1"/>
      <protection locked="0"/>
    </xf>
    <xf numFmtId="0" fontId="6" fillId="2" borderId="14" xfId="0" applyFont="1" applyFill="1"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53" xfId="0" applyBorder="1" applyAlignment="1">
      <alignment vertical="center"/>
    </xf>
    <xf numFmtId="0" fontId="0" fillId="0" borderId="53" xfId="0" applyBorder="1" applyAlignment="1">
      <alignment vertical="center" wrapText="1"/>
    </xf>
    <xf numFmtId="0" fontId="12" fillId="0" borderId="39" xfId="0" applyFont="1" applyBorder="1" applyAlignment="1">
      <alignment vertical="center"/>
    </xf>
    <xf numFmtId="0" fontId="6" fillId="0" borderId="81" xfId="0" applyFont="1" applyBorder="1" applyAlignment="1">
      <alignment vertical="center"/>
    </xf>
    <xf numFmtId="0" fontId="6" fillId="0" borderId="82" xfId="0" applyFont="1" applyBorder="1" applyAlignment="1">
      <alignment vertical="center"/>
    </xf>
    <xf numFmtId="0" fontId="6" fillId="0" borderId="83" xfId="0" applyFont="1" applyBorder="1" applyAlignment="1">
      <alignment vertical="center"/>
    </xf>
    <xf numFmtId="0" fontId="6" fillId="0" borderId="84" xfId="0" applyFont="1" applyBorder="1" applyAlignment="1">
      <alignment vertical="center"/>
    </xf>
    <xf numFmtId="0" fontId="6" fillId="0" borderId="85" xfId="0" applyFont="1" applyBorder="1" applyAlignment="1">
      <alignment vertical="center"/>
    </xf>
    <xf numFmtId="0" fontId="6" fillId="0" borderId="86" xfId="0" applyFont="1" applyBorder="1" applyAlignment="1">
      <alignment vertical="center"/>
    </xf>
    <xf numFmtId="0" fontId="0" fillId="0" borderId="81" xfId="0" applyBorder="1"/>
    <xf numFmtId="0" fontId="0" fillId="0" borderId="83" xfId="0" applyBorder="1"/>
    <xf numFmtId="0" fontId="0" fillId="0" borderId="85" xfId="0" applyBorder="1"/>
    <xf numFmtId="0" fontId="6" fillId="0" borderId="87" xfId="0" applyFont="1" applyBorder="1" applyAlignment="1">
      <alignment vertical="center"/>
    </xf>
    <xf numFmtId="0" fontId="6" fillId="0" borderId="58" xfId="0" applyFont="1" applyBorder="1" applyAlignment="1">
      <alignment vertical="center"/>
    </xf>
    <xf numFmtId="0" fontId="6" fillId="0" borderId="88" xfId="0" applyFont="1" applyBorder="1" applyAlignment="1">
      <alignment vertical="center"/>
    </xf>
    <xf numFmtId="0" fontId="0" fillId="0" borderId="87" xfId="0" applyBorder="1"/>
    <xf numFmtId="0" fontId="0" fillId="0" borderId="58" xfId="0" applyBorder="1" applyAlignment="1">
      <alignment vertical="center"/>
    </xf>
    <xf numFmtId="0" fontId="0" fillId="0" borderId="88" xfId="0" applyBorder="1"/>
    <xf numFmtId="0" fontId="0" fillId="0" borderId="7" xfId="0" applyBorder="1" applyAlignment="1">
      <alignment vertical="center" wrapText="1"/>
    </xf>
    <xf numFmtId="176" fontId="12" fillId="2" borderId="39" xfId="0" applyNumberFormat="1" applyFont="1" applyFill="1" applyBorder="1" applyAlignment="1" applyProtection="1">
      <alignment vertical="center" shrinkToFit="1"/>
      <protection locked="0"/>
    </xf>
    <xf numFmtId="0" fontId="6" fillId="0" borderId="14" xfId="0" applyFont="1" applyBorder="1" applyAlignment="1">
      <alignment horizontal="center" vertical="center"/>
    </xf>
    <xf numFmtId="0" fontId="9" fillId="0" borderId="14" xfId="0" applyFont="1" applyBorder="1" applyAlignment="1">
      <alignment horizontal="left" vertical="center"/>
    </xf>
    <xf numFmtId="0" fontId="17" fillId="0" borderId="0" xfId="0" applyFont="1" applyAlignment="1">
      <alignment horizontal="left" vertical="center"/>
    </xf>
    <xf numFmtId="0" fontId="20" fillId="0" borderId="0" xfId="0" applyFont="1"/>
    <xf numFmtId="0" fontId="6" fillId="0" borderId="7" xfId="0" applyFont="1" applyBorder="1" applyAlignment="1">
      <alignment vertical="center" wrapText="1"/>
    </xf>
    <xf numFmtId="0" fontId="0" fillId="0" borderId="9" xfId="0" applyBorder="1" applyAlignment="1">
      <alignment vertical="center"/>
    </xf>
    <xf numFmtId="0" fontId="0" fillId="0" borderId="39" xfId="0" applyBorder="1"/>
    <xf numFmtId="184" fontId="10" fillId="2" borderId="39" xfId="0" applyNumberFormat="1" applyFont="1" applyFill="1" applyBorder="1" applyAlignment="1" applyProtection="1">
      <alignment horizontal="center"/>
      <protection locked="0"/>
    </xf>
    <xf numFmtId="0" fontId="12" fillId="0" borderId="0" xfId="0" applyFont="1" applyAlignment="1">
      <alignment vertical="center"/>
    </xf>
    <xf numFmtId="0" fontId="22" fillId="0" borderId="0" xfId="0" applyFont="1"/>
    <xf numFmtId="184" fontId="23" fillId="0" borderId="0" xfId="0" applyNumberFormat="1" applyFont="1" applyAlignment="1" applyProtection="1">
      <alignment horizontal="center"/>
      <protection locked="0"/>
    </xf>
    <xf numFmtId="0" fontId="0" fillId="2" borderId="10" xfId="0" applyFill="1" applyBorder="1" applyAlignment="1" applyProtection="1">
      <alignment vertical="center"/>
      <protection locked="0"/>
    </xf>
    <xf numFmtId="0" fontId="0" fillId="2" borderId="8" xfId="0" applyFill="1" applyBorder="1" applyAlignment="1" applyProtection="1">
      <alignment vertical="center"/>
      <protection locked="0"/>
    </xf>
    <xf numFmtId="0" fontId="0" fillId="2" borderId="73" xfId="0" applyFill="1" applyBorder="1" applyAlignment="1" applyProtection="1">
      <alignment vertical="center"/>
      <protection locked="0"/>
    </xf>
    <xf numFmtId="0" fontId="0" fillId="2" borderId="5" xfId="0" applyFill="1" applyBorder="1" applyAlignment="1" applyProtection="1">
      <alignment vertical="center"/>
      <protection locked="0"/>
    </xf>
    <xf numFmtId="0" fontId="6" fillId="0" borderId="9" xfId="0" applyFont="1" applyBorder="1" applyAlignment="1">
      <alignment vertical="center"/>
    </xf>
    <xf numFmtId="0" fontId="6" fillId="0" borderId="7" xfId="0" applyFont="1" applyBorder="1" applyAlignment="1">
      <alignment vertical="center"/>
    </xf>
    <xf numFmtId="0" fontId="6" fillId="0" borderId="67" xfId="0" applyFont="1" applyBorder="1" applyAlignment="1">
      <alignment vertical="center"/>
    </xf>
    <xf numFmtId="0" fontId="0" fillId="0" borderId="9" xfId="0" applyBorder="1" applyAlignment="1" applyProtection="1">
      <alignment vertical="center" shrinkToFit="1"/>
      <protection locked="0"/>
    </xf>
    <xf numFmtId="0" fontId="0" fillId="0" borderId="7" xfId="0" applyBorder="1" applyAlignment="1" applyProtection="1">
      <alignment vertical="center" shrinkToFit="1"/>
      <protection locked="0"/>
    </xf>
    <xf numFmtId="0" fontId="0" fillId="0" borderId="67" xfId="0" applyBorder="1" applyAlignment="1" applyProtection="1">
      <alignment vertical="center" shrinkToFit="1"/>
      <protection locked="0"/>
    </xf>
    <xf numFmtId="0" fontId="0" fillId="0" borderId="9" xfId="0" applyBorder="1" applyAlignment="1" applyProtection="1">
      <alignment vertical="center"/>
      <protection locked="0"/>
    </xf>
    <xf numFmtId="0" fontId="0" fillId="0" borderId="7" xfId="0" applyBorder="1" applyAlignment="1" applyProtection="1">
      <alignment vertical="center"/>
      <protection locked="0"/>
    </xf>
    <xf numFmtId="0" fontId="0" fillId="0" borderId="67" xfId="0" applyBorder="1" applyAlignment="1" applyProtection="1">
      <alignment vertical="center"/>
      <protection locked="0"/>
    </xf>
    <xf numFmtId="0" fontId="0" fillId="0" borderId="67" xfId="0" applyBorder="1" applyAlignment="1">
      <alignment vertical="center"/>
    </xf>
    <xf numFmtId="0" fontId="0" fillId="0" borderId="4" xfId="0" applyBorder="1" applyAlignment="1" applyProtection="1">
      <alignment vertical="center"/>
      <protection locked="0"/>
    </xf>
    <xf numFmtId="0" fontId="0" fillId="0" borderId="14" xfId="0" applyBorder="1" applyAlignment="1">
      <alignment vertical="center" wrapText="1"/>
    </xf>
    <xf numFmtId="0" fontId="0" fillId="0" borderId="4" xfId="0" applyBorder="1" applyAlignment="1">
      <alignment vertical="center"/>
    </xf>
    <xf numFmtId="0" fontId="0" fillId="0" borderId="67" xfId="0" applyBorder="1"/>
    <xf numFmtId="0" fontId="24" fillId="0" borderId="0" xfId="0" applyFont="1"/>
    <xf numFmtId="14" fontId="0" fillId="0" borderId="0" xfId="0" applyNumberFormat="1"/>
    <xf numFmtId="0" fontId="0" fillId="0" borderId="0" xfId="0" applyAlignment="1">
      <alignment horizontal="right"/>
    </xf>
    <xf numFmtId="0" fontId="13" fillId="0" borderId="14" xfId="0" applyFont="1" applyBorder="1" applyAlignment="1">
      <alignment horizontal="center" vertical="center" wrapText="1"/>
    </xf>
    <xf numFmtId="0" fontId="8" fillId="2" borderId="21" xfId="0" applyFont="1" applyFill="1" applyBorder="1" applyAlignment="1" applyProtection="1">
      <alignment horizontal="center" vertical="center" shrinkToFit="1"/>
      <protection locked="0"/>
    </xf>
    <xf numFmtId="0" fontId="6" fillId="2" borderId="21" xfId="0" applyFont="1" applyFill="1" applyBorder="1" applyAlignment="1" applyProtection="1">
      <alignment horizontal="center" vertical="center"/>
      <protection locked="0"/>
    </xf>
    <xf numFmtId="0" fontId="0" fillId="2" borderId="0" xfId="0" applyFill="1" applyAlignment="1" applyProtection="1">
      <alignment horizontal="left" vertical="center" indent="1"/>
      <protection locked="0"/>
    </xf>
    <xf numFmtId="0" fontId="12" fillId="2" borderId="103" xfId="0" applyFont="1" applyFill="1" applyBorder="1" applyAlignment="1" applyProtection="1">
      <alignment horizontal="center" vertical="center"/>
      <protection locked="0"/>
    </xf>
    <xf numFmtId="0" fontId="11" fillId="0" borderId="0" xfId="0" applyFont="1"/>
    <xf numFmtId="0" fontId="17" fillId="0" borderId="0" xfId="0" applyFont="1"/>
    <xf numFmtId="176" fontId="0" fillId="0" borderId="0" xfId="0" applyNumberFormat="1" applyAlignment="1">
      <alignment horizontal="center" vertical="center"/>
    </xf>
    <xf numFmtId="0" fontId="8" fillId="0" borderId="0" xfId="0" applyFont="1"/>
    <xf numFmtId="0" fontId="0" fillId="0" borderId="17" xfId="0" applyBorder="1" applyAlignment="1">
      <alignment horizontal="center" vertical="center"/>
    </xf>
    <xf numFmtId="0" fontId="0" fillId="0" borderId="14" xfId="0" applyBorder="1" applyAlignment="1">
      <alignment shrinkToFit="1"/>
    </xf>
    <xf numFmtId="0" fontId="0" fillId="0" borderId="20" xfId="0" applyBorder="1" applyAlignment="1">
      <alignment horizontal="center" vertical="center"/>
    </xf>
    <xf numFmtId="0" fontId="0" fillId="0" borderId="22" xfId="0" applyBorder="1" applyAlignment="1">
      <alignment horizontal="center" vertical="center"/>
    </xf>
    <xf numFmtId="0" fontId="0" fillId="2" borderId="18" xfId="0" applyFill="1" applyBorder="1" applyAlignment="1">
      <alignment vertical="center"/>
    </xf>
    <xf numFmtId="0" fontId="0" fillId="0" borderId="19" xfId="0" applyBorder="1"/>
    <xf numFmtId="0" fontId="0" fillId="2" borderId="20" xfId="0" applyFill="1" applyBorder="1" applyAlignment="1">
      <alignment vertical="center"/>
    </xf>
    <xf numFmtId="0" fontId="0" fillId="0" borderId="22" xfId="0" applyBorder="1"/>
    <xf numFmtId="0" fontId="8" fillId="2" borderId="16" xfId="0" applyFont="1" applyFill="1" applyBorder="1" applyAlignment="1" applyProtection="1">
      <alignment horizontal="center" vertical="center" shrinkToFit="1"/>
      <protection locked="0"/>
    </xf>
    <xf numFmtId="0" fontId="6" fillId="2" borderId="16" xfId="0" applyFont="1" applyFill="1" applyBorder="1" applyAlignment="1" applyProtection="1">
      <alignment horizontal="center" vertical="center"/>
      <protection locked="0"/>
    </xf>
    <xf numFmtId="0" fontId="0" fillId="2" borderId="15" xfId="0" applyFill="1" applyBorder="1" applyAlignment="1">
      <alignment vertical="center"/>
    </xf>
    <xf numFmtId="0" fontId="0" fillId="0" borderId="17" xfId="0" applyBorder="1"/>
    <xf numFmtId="0" fontId="0" fillId="2" borderId="14" xfId="0" applyFill="1" applyBorder="1" applyAlignment="1" applyProtection="1">
      <alignment vertical="center" shrinkToFit="1"/>
      <protection locked="0"/>
    </xf>
    <xf numFmtId="0" fontId="0" fillId="2" borderId="21" xfId="0" applyFill="1" applyBorder="1" applyAlignment="1" applyProtection="1">
      <alignment vertical="center" shrinkToFit="1"/>
      <protection locked="0"/>
    </xf>
    <xf numFmtId="0" fontId="0" fillId="2" borderId="16" xfId="0" applyFill="1" applyBorder="1" applyAlignment="1" applyProtection="1">
      <alignment vertical="center" shrinkToFit="1"/>
      <protection locked="0"/>
    </xf>
    <xf numFmtId="0" fontId="0" fillId="0" borderId="0" xfId="0" applyAlignment="1">
      <alignment wrapText="1"/>
    </xf>
    <xf numFmtId="0" fontId="7" fillId="0" borderId="0" xfId="0" applyFont="1" applyAlignment="1">
      <alignment horizontal="center" vertical="center"/>
    </xf>
    <xf numFmtId="0" fontId="13" fillId="0" borderId="0" xfId="0" applyFont="1" applyAlignment="1">
      <alignment horizontal="center" vertical="center"/>
    </xf>
    <xf numFmtId="0" fontId="24" fillId="0" borderId="15" xfId="0" applyFont="1" applyBorder="1" applyAlignment="1">
      <alignment horizontal="center" vertical="center" wrapText="1"/>
    </xf>
    <xf numFmtId="49" fontId="0" fillId="2" borderId="17" xfId="0" applyNumberFormat="1" applyFill="1" applyBorder="1" applyAlignment="1" applyProtection="1">
      <alignment vertical="center"/>
      <protection locked="0"/>
    </xf>
    <xf numFmtId="49" fontId="0" fillId="2" borderId="19" xfId="0" applyNumberFormat="1" applyFill="1" applyBorder="1" applyAlignment="1" applyProtection="1">
      <alignment vertical="center"/>
      <protection locked="0"/>
    </xf>
    <xf numFmtId="49" fontId="0" fillId="2" borderId="22" xfId="0" applyNumberFormat="1" applyFill="1" applyBorder="1" applyAlignment="1" applyProtection="1">
      <alignment vertical="center"/>
      <protection locked="0"/>
    </xf>
    <xf numFmtId="49" fontId="0" fillId="2" borderId="33" xfId="0" applyNumberFormat="1" applyFill="1" applyBorder="1" applyAlignment="1" applyProtection="1">
      <alignment horizontal="left" vertical="center" indent="1" shrinkToFit="1"/>
      <protection locked="0"/>
    </xf>
    <xf numFmtId="49" fontId="0" fillId="2" borderId="34" xfId="0" applyNumberFormat="1" applyFill="1" applyBorder="1" applyAlignment="1" applyProtection="1">
      <alignment vertical="center" shrinkToFit="1"/>
      <protection locked="0"/>
    </xf>
    <xf numFmtId="49" fontId="0" fillId="2" borderId="35" xfId="0" applyNumberFormat="1" applyFill="1" applyBorder="1" applyAlignment="1" applyProtection="1">
      <alignment vertical="center" shrinkToFit="1"/>
      <protection locked="0"/>
    </xf>
    <xf numFmtId="49" fontId="0" fillId="2" borderId="36" xfId="0" applyNumberFormat="1" applyFill="1" applyBorder="1" applyAlignment="1" applyProtection="1">
      <alignment horizontal="left" vertical="center" indent="1" shrinkToFit="1"/>
      <protection locked="0"/>
    </xf>
    <xf numFmtId="49" fontId="0" fillId="2" borderId="37" xfId="0" applyNumberFormat="1" applyFill="1" applyBorder="1" applyAlignment="1" applyProtection="1">
      <alignment vertical="center" shrinkToFit="1"/>
      <protection locked="0"/>
    </xf>
    <xf numFmtId="49" fontId="0" fillId="2" borderId="38" xfId="0" applyNumberFormat="1" applyFill="1" applyBorder="1" applyAlignment="1" applyProtection="1">
      <alignment vertical="center" shrinkToFit="1"/>
      <protection locked="0"/>
    </xf>
    <xf numFmtId="0" fontId="0" fillId="0" borderId="14" xfId="0" applyBorder="1" applyAlignment="1">
      <alignment wrapText="1"/>
    </xf>
    <xf numFmtId="179" fontId="0" fillId="0" borderId="0" xfId="0" applyNumberFormat="1" applyAlignment="1" applyProtection="1">
      <alignment horizontal="right" vertical="center"/>
      <protection locked="0"/>
    </xf>
    <xf numFmtId="180" fontId="0" fillId="0" borderId="0" xfId="0" applyNumberFormat="1" applyAlignment="1" applyProtection="1">
      <alignment horizontal="right" vertical="center"/>
      <protection locked="0"/>
    </xf>
    <xf numFmtId="181" fontId="0" fillId="0" borderId="0" xfId="0" applyNumberFormat="1" applyAlignment="1" applyProtection="1">
      <alignment horizontal="right" vertical="center"/>
      <protection locked="0"/>
    </xf>
    <xf numFmtId="0" fontId="0" fillId="0" borderId="0" xfId="0" applyAlignment="1" applyProtection="1">
      <alignment horizontal="center" vertical="center"/>
      <protection locked="0"/>
    </xf>
    <xf numFmtId="182" fontId="0" fillId="0" borderId="0" xfId="0" applyNumberFormat="1" applyAlignment="1" applyProtection="1">
      <alignment horizontal="center" vertical="center"/>
      <protection locked="0"/>
    </xf>
    <xf numFmtId="0" fontId="0" fillId="0" borderId="63" xfId="0" applyBorder="1" applyAlignment="1" applyProtection="1">
      <alignment vertical="center"/>
      <protection locked="0"/>
    </xf>
    <xf numFmtId="0" fontId="0" fillId="0" borderId="63" xfId="0" applyBorder="1" applyAlignment="1" applyProtection="1">
      <alignment horizontal="center" vertical="center"/>
      <protection locked="0"/>
    </xf>
    <xf numFmtId="0" fontId="18" fillId="0" borderId="0" xfId="0" applyFont="1" applyAlignment="1">
      <alignment horizontal="center" vertical="center"/>
    </xf>
    <xf numFmtId="0" fontId="19" fillId="0" borderId="0" xfId="0" applyFont="1" applyAlignment="1">
      <alignment horizontal="left" vertical="center" wrapText="1"/>
    </xf>
    <xf numFmtId="0" fontId="0" fillId="0" borderId="39" xfId="0" applyBorder="1" applyAlignment="1" applyProtection="1">
      <alignment horizontal="center" vertical="center"/>
      <protection locked="0"/>
    </xf>
    <xf numFmtId="0" fontId="24" fillId="0" borderId="0" xfId="0" applyFont="1" applyAlignment="1">
      <alignment vertical="center"/>
    </xf>
    <xf numFmtId="0" fontId="0" fillId="0" borderId="15" xfId="0" applyBorder="1"/>
    <xf numFmtId="0" fontId="0" fillId="0" borderId="18" xfId="0" applyBorder="1"/>
    <xf numFmtId="0" fontId="0" fillId="0" borderId="40" xfId="0" applyBorder="1" applyAlignment="1">
      <alignment horizontal="center"/>
    </xf>
    <xf numFmtId="0" fontId="0" fillId="0" borderId="34" xfId="0" applyBorder="1" applyAlignment="1">
      <alignment horizontal="center"/>
    </xf>
    <xf numFmtId="0" fontId="0" fillId="0" borderId="41" xfId="0" applyBorder="1" applyAlignment="1">
      <alignment horizontal="center"/>
    </xf>
    <xf numFmtId="0" fontId="0" fillId="0" borderId="20" xfId="0" applyBorder="1"/>
    <xf numFmtId="0" fontId="0" fillId="0" borderId="18" xfId="0" applyBorder="1" applyAlignment="1">
      <alignment horizontal="center" vertical="center"/>
    </xf>
    <xf numFmtId="0" fontId="7" fillId="0" borderId="21" xfId="0" applyFont="1" applyBorder="1" applyAlignment="1">
      <alignment horizontal="center" vertical="center"/>
    </xf>
    <xf numFmtId="176" fontId="0" fillId="0" borderId="39" xfId="0" applyNumberFormat="1" applyBorder="1" applyAlignment="1">
      <alignment horizontal="center" vertical="center"/>
    </xf>
    <xf numFmtId="0" fontId="9" fillId="0" borderId="0" xfId="0" applyFont="1"/>
    <xf numFmtId="0" fontId="6" fillId="0" borderId="20" xfId="0" applyFont="1" applyBorder="1" applyAlignment="1">
      <alignment horizontal="center" vertical="center" wrapText="1"/>
    </xf>
    <xf numFmtId="0" fontId="0" fillId="0" borderId="15" xfId="0" applyBorder="1" applyAlignment="1">
      <alignment horizontal="center" vertical="center"/>
    </xf>
    <xf numFmtId="0" fontId="6" fillId="2" borderId="15" xfId="0" applyFont="1" applyFill="1" applyBorder="1" applyAlignment="1">
      <alignment vertical="center"/>
    </xf>
    <xf numFmtId="0" fontId="0" fillId="0" borderId="17" xfId="0" applyBorder="1" applyAlignment="1">
      <alignment vertical="center"/>
    </xf>
    <xf numFmtId="0" fontId="6" fillId="2" borderId="18" xfId="0" applyFont="1" applyFill="1" applyBorder="1" applyAlignment="1">
      <alignment vertical="center"/>
    </xf>
    <xf numFmtId="0" fontId="0" fillId="0" borderId="19" xfId="0" applyBorder="1" applyAlignment="1">
      <alignment vertical="center"/>
    </xf>
    <xf numFmtId="0" fontId="6" fillId="2" borderId="20" xfId="0" applyFont="1" applyFill="1" applyBorder="1" applyAlignment="1">
      <alignment vertical="center"/>
    </xf>
    <xf numFmtId="0" fontId="0" fillId="0" borderId="22" xfId="0" applyBorder="1" applyAlignment="1">
      <alignment vertical="center"/>
    </xf>
    <xf numFmtId="0" fontId="6" fillId="0" borderId="21" xfId="0" applyFont="1" applyBorder="1" applyAlignment="1">
      <alignment horizontal="center" vertical="center"/>
    </xf>
    <xf numFmtId="176" fontId="8" fillId="0" borderId="0" xfId="0" applyNumberFormat="1" applyFont="1"/>
    <xf numFmtId="0" fontId="10" fillId="0" borderId="102" xfId="0" applyFont="1" applyBorder="1" applyAlignment="1">
      <alignment horizontal="center" vertical="center" wrapText="1"/>
    </xf>
    <xf numFmtId="0" fontId="8" fillId="0" borderId="0" xfId="0" applyFont="1" applyAlignment="1">
      <alignment horizontal="left" vertical="center"/>
    </xf>
    <xf numFmtId="176" fontId="12" fillId="0" borderId="0" xfId="0" applyNumberFormat="1" applyFont="1" applyAlignment="1">
      <alignment horizontal="center" vertical="center"/>
    </xf>
    <xf numFmtId="0" fontId="12" fillId="0" borderId="0" xfId="0" applyFont="1" applyAlignment="1">
      <alignment horizontal="right" vertical="center"/>
    </xf>
    <xf numFmtId="0" fontId="0" fillId="0" borderId="15" xfId="0" applyBorder="1" applyAlignment="1">
      <alignment horizontal="right" vertical="center"/>
    </xf>
    <xf numFmtId="0" fontId="0" fillId="0" borderId="27" xfId="0" applyBorder="1" applyAlignment="1">
      <alignment horizontal="right" vertical="center"/>
    </xf>
    <xf numFmtId="0" fontId="9" fillId="0" borderId="0" xfId="0" applyFont="1" applyAlignment="1">
      <alignment vertical="center"/>
    </xf>
    <xf numFmtId="0" fontId="7" fillId="0" borderId="0" xfId="0" applyFont="1" applyAlignment="1">
      <alignment vertical="center" wrapText="1"/>
    </xf>
    <xf numFmtId="0" fontId="0" fillId="0" borderId="30" xfId="0" applyBorder="1"/>
    <xf numFmtId="0" fontId="0" fillId="0" borderId="31" xfId="0" applyBorder="1"/>
    <xf numFmtId="0" fontId="0" fillId="0" borderId="32" xfId="0" applyBorder="1"/>
    <xf numFmtId="183" fontId="0" fillId="0" borderId="15" xfId="0" applyNumberFormat="1" applyBorder="1" applyAlignment="1">
      <alignment vertical="center" shrinkToFit="1"/>
    </xf>
    <xf numFmtId="177" fontId="0" fillId="0" borderId="49" xfId="0" applyNumberFormat="1" applyBorder="1" applyAlignment="1">
      <alignment vertical="center" shrinkToFit="1"/>
    </xf>
    <xf numFmtId="5" fontId="0" fillId="0" borderId="17" xfId="0" applyNumberFormat="1" applyBorder="1" applyAlignment="1">
      <alignment vertical="center" shrinkToFit="1"/>
    </xf>
    <xf numFmtId="178" fontId="0" fillId="0" borderId="18" xfId="0" applyNumberFormat="1" applyBorder="1" applyAlignment="1">
      <alignment vertical="center" shrinkToFit="1"/>
    </xf>
    <xf numFmtId="178" fontId="6" fillId="0" borderId="63" xfId="0" applyNumberFormat="1" applyFont="1" applyBorder="1" applyAlignment="1">
      <alignment vertical="center" shrinkToFit="1"/>
    </xf>
    <xf numFmtId="5" fontId="0" fillId="0" borderId="19" xfId="0" applyNumberFormat="1" applyBorder="1" applyAlignment="1">
      <alignment vertical="center" shrinkToFit="1"/>
    </xf>
    <xf numFmtId="0" fontId="0" fillId="0" borderId="44" xfId="0" applyBorder="1" applyAlignment="1">
      <alignment vertical="center" shrinkToFit="1"/>
    </xf>
    <xf numFmtId="0" fontId="0" fillId="0" borderId="79" xfId="0" applyBorder="1" applyAlignment="1">
      <alignment vertical="center" shrinkToFit="1"/>
    </xf>
    <xf numFmtId="5" fontId="0" fillId="0" borderId="45" xfId="0" applyNumberFormat="1" applyBorder="1" applyAlignment="1">
      <alignment vertical="center" shrinkToFit="1"/>
    </xf>
    <xf numFmtId="0" fontId="0" fillId="0" borderId="46" xfId="0" applyBorder="1" applyAlignment="1">
      <alignment vertical="center" shrinkToFit="1"/>
    </xf>
    <xf numFmtId="0" fontId="0" fillId="0" borderId="80" xfId="0" applyBorder="1" applyAlignment="1">
      <alignment vertical="center" shrinkToFit="1"/>
    </xf>
    <xf numFmtId="5" fontId="0" fillId="0" borderId="47" xfId="0" applyNumberFormat="1" applyBorder="1" applyAlignment="1">
      <alignment vertical="center" shrinkToFit="1"/>
    </xf>
    <xf numFmtId="0" fontId="17" fillId="0" borderId="0" xfId="0" applyFont="1" applyAlignment="1">
      <alignment horizontal="center" vertical="center"/>
    </xf>
    <xf numFmtId="177" fontId="0" fillId="0" borderId="0" xfId="0" applyNumberFormat="1"/>
    <xf numFmtId="5" fontId="8" fillId="0" borderId="0" xfId="0" applyNumberFormat="1" applyFont="1"/>
    <xf numFmtId="178" fontId="8" fillId="0" borderId="0" xfId="0" applyNumberFormat="1" applyFont="1"/>
    <xf numFmtId="176" fontId="9" fillId="0" borderId="0" xfId="0" applyNumberFormat="1" applyFont="1" applyAlignment="1">
      <alignment horizontal="center" vertical="center"/>
    </xf>
    <xf numFmtId="0" fontId="28" fillId="0" borderId="0" xfId="0" applyFont="1" applyAlignment="1">
      <alignment horizontal="right"/>
    </xf>
    <xf numFmtId="0" fontId="13" fillId="0" borderId="0" xfId="0" applyFont="1"/>
    <xf numFmtId="0" fontId="30" fillId="0" borderId="0" xfId="0" applyFont="1"/>
    <xf numFmtId="0" fontId="30" fillId="0" borderId="14" xfId="0" applyFont="1" applyBorder="1"/>
    <xf numFmtId="0" fontId="31" fillId="0" borderId="0" xfId="0" applyFont="1" applyAlignment="1">
      <alignment horizontal="center" vertical="center" wrapText="1"/>
    </xf>
    <xf numFmtId="0" fontId="32" fillId="0" borderId="0" xfId="0" applyFont="1"/>
    <xf numFmtId="0" fontId="30" fillId="0" borderId="0" xfId="0" applyFont="1" applyAlignment="1">
      <alignment horizontal="right" vertical="center"/>
    </xf>
    <xf numFmtId="0" fontId="30" fillId="0" borderId="39" xfId="0" applyFont="1" applyBorder="1" applyAlignment="1">
      <alignment vertical="center" shrinkToFit="1"/>
    </xf>
    <xf numFmtId="176" fontId="30" fillId="0" borderId="39" xfId="0" applyNumberFormat="1" applyFont="1" applyBorder="1" applyAlignment="1">
      <alignment horizontal="left" vertical="center" shrinkToFit="1"/>
    </xf>
    <xf numFmtId="0" fontId="30" fillId="0" borderId="62" xfId="0" applyFont="1" applyBorder="1"/>
    <xf numFmtId="0" fontId="30" fillId="0" borderId="63" xfId="0" applyFont="1" applyBorder="1"/>
    <xf numFmtId="0" fontId="30" fillId="0" borderId="65" xfId="0" applyFont="1" applyBorder="1"/>
    <xf numFmtId="0" fontId="25" fillId="0" borderId="0" xfId="0" applyFont="1"/>
    <xf numFmtId="0" fontId="34" fillId="0" borderId="0" xfId="0" applyFont="1"/>
    <xf numFmtId="0" fontId="30" fillId="0" borderId="14" xfId="0" applyFont="1" applyBorder="1" applyAlignment="1">
      <alignment shrinkToFit="1"/>
    </xf>
    <xf numFmtId="0" fontId="30" fillId="0" borderId="0" xfId="0" applyFont="1" applyAlignment="1">
      <alignment horizontal="center" vertical="center"/>
    </xf>
    <xf numFmtId="0" fontId="25" fillId="0" borderId="14" xfId="0" applyFont="1" applyBorder="1" applyAlignment="1">
      <alignment horizontal="center" vertical="center" wrapText="1"/>
    </xf>
    <xf numFmtId="0" fontId="25" fillId="0" borderId="14" xfId="0" applyFont="1" applyBorder="1" applyAlignment="1">
      <alignment horizontal="center" vertical="center"/>
    </xf>
    <xf numFmtId="0" fontId="30" fillId="0" borderId="28" xfId="0" applyFont="1" applyBorder="1" applyAlignment="1">
      <alignment horizontal="center" vertical="center"/>
    </xf>
    <xf numFmtId="0" fontId="34" fillId="0" borderId="88" xfId="0" applyFont="1" applyBorder="1" applyAlignment="1">
      <alignment horizontal="center" vertical="center"/>
    </xf>
    <xf numFmtId="0" fontId="30" fillId="2" borderId="88" xfId="0" applyFont="1" applyFill="1" applyBorder="1" applyAlignment="1" applyProtection="1">
      <alignment vertical="center" shrinkToFit="1"/>
      <protection locked="0"/>
    </xf>
    <xf numFmtId="0" fontId="30" fillId="0" borderId="88" xfId="0" applyFont="1" applyBorder="1" applyAlignment="1">
      <alignment vertical="center" shrinkToFit="1"/>
    </xf>
    <xf numFmtId="0" fontId="30" fillId="2" borderId="88" xfId="0" applyFont="1" applyFill="1" applyBorder="1" applyAlignment="1" applyProtection="1">
      <alignment horizontal="center" vertical="center" shrinkToFit="1"/>
      <protection locked="0"/>
    </xf>
    <xf numFmtId="0" fontId="34" fillId="2" borderId="52" xfId="0" applyFont="1" applyFill="1" applyBorder="1" applyAlignment="1" applyProtection="1">
      <alignment vertical="center"/>
      <protection locked="0"/>
    </xf>
    <xf numFmtId="0" fontId="30" fillId="0" borderId="104" xfId="0" applyFont="1" applyBorder="1" applyAlignment="1">
      <alignment vertical="center" shrinkToFit="1"/>
    </xf>
    <xf numFmtId="0" fontId="30" fillId="0" borderId="18" xfId="0" applyFont="1" applyBorder="1" applyAlignment="1">
      <alignment horizontal="center" vertical="center"/>
    </xf>
    <xf numFmtId="0" fontId="34" fillId="0" borderId="14" xfId="0" applyFont="1" applyBorder="1" applyAlignment="1">
      <alignment horizontal="center" vertical="center"/>
    </xf>
    <xf numFmtId="0" fontId="30" fillId="2" borderId="14" xfId="0" applyFont="1" applyFill="1" applyBorder="1" applyAlignment="1" applyProtection="1">
      <alignment vertical="center" shrinkToFit="1"/>
      <protection locked="0"/>
    </xf>
    <xf numFmtId="0" fontId="30" fillId="0" borderId="14" xfId="0" applyFont="1" applyBorder="1" applyAlignment="1">
      <alignment vertical="center" shrinkToFit="1"/>
    </xf>
    <xf numFmtId="0" fontId="30" fillId="2" borderId="14" xfId="0" applyFont="1" applyFill="1" applyBorder="1" applyAlignment="1" applyProtection="1">
      <alignment horizontal="center" vertical="center" shrinkToFit="1"/>
      <protection locked="0"/>
    </xf>
    <xf numFmtId="0" fontId="34" fillId="2" borderId="19" xfId="0" applyFont="1" applyFill="1" applyBorder="1" applyAlignment="1" applyProtection="1">
      <alignment vertical="center"/>
      <protection locked="0"/>
    </xf>
    <xf numFmtId="0" fontId="30" fillId="0" borderId="20" xfId="0" applyFont="1" applyBorder="1" applyAlignment="1">
      <alignment horizontal="center" vertical="center"/>
    </xf>
    <xf numFmtId="0" fontId="34" fillId="0" borderId="21" xfId="0" applyFont="1" applyBorder="1" applyAlignment="1">
      <alignment horizontal="center" vertical="center"/>
    </xf>
    <xf numFmtId="0" fontId="30" fillId="2" borderId="21" xfId="0" applyFont="1" applyFill="1" applyBorder="1" applyAlignment="1" applyProtection="1">
      <alignment vertical="center" shrinkToFit="1"/>
      <protection locked="0"/>
    </xf>
    <xf numFmtId="0" fontId="30" fillId="0" borderId="21" xfId="0" applyFont="1" applyBorder="1" applyAlignment="1">
      <alignment vertical="center" shrinkToFit="1"/>
    </xf>
    <xf numFmtId="0" fontId="30" fillId="2" borderId="21" xfId="0" applyFont="1" applyFill="1" applyBorder="1" applyAlignment="1" applyProtection="1">
      <alignment horizontal="center" vertical="center" shrinkToFit="1"/>
      <protection locked="0"/>
    </xf>
    <xf numFmtId="0" fontId="34" fillId="2" borderId="22" xfId="0" applyFont="1" applyFill="1" applyBorder="1" applyAlignment="1" applyProtection="1">
      <alignment vertical="center"/>
      <protection locked="0"/>
    </xf>
    <xf numFmtId="0" fontId="30" fillId="2" borderId="0" xfId="0" applyFont="1" applyFill="1" applyAlignment="1">
      <alignment vertical="center"/>
    </xf>
    <xf numFmtId="0" fontId="8" fillId="0" borderId="0" xfId="0" applyFont="1" applyAlignment="1">
      <alignment horizontal="center" vertical="top"/>
    </xf>
    <xf numFmtId="0" fontId="9" fillId="0" borderId="0" xfId="0" applyFont="1" applyAlignment="1">
      <alignment horizontal="center"/>
    </xf>
    <xf numFmtId="0" fontId="0" fillId="0" borderId="5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vertical="center"/>
    </xf>
    <xf numFmtId="0" fontId="9" fillId="0" borderId="34" xfId="0" applyFont="1" applyBorder="1"/>
    <xf numFmtId="0" fontId="0" fillId="0" borderId="0" xfId="0" applyAlignment="1">
      <alignment horizontal="center" vertical="top"/>
    </xf>
    <xf numFmtId="0" fontId="5" fillId="0" borderId="0" xfId="0" applyFont="1" applyAlignment="1">
      <alignment vertical="center"/>
    </xf>
    <xf numFmtId="0" fontId="11" fillId="0" borderId="0" xfId="0" applyFont="1" applyAlignment="1">
      <alignment horizontal="centerContinuous" vertical="center" wrapText="1"/>
    </xf>
    <xf numFmtId="0" fontId="0" fillId="0" borderId="0" xfId="0" applyAlignment="1">
      <alignment horizontal="centerContinuous" vertical="center"/>
    </xf>
    <xf numFmtId="0" fontId="17" fillId="0" borderId="0" xfId="0" applyFont="1" applyAlignment="1">
      <alignment horizontal="centerContinuous" vertical="center" wrapText="1"/>
    </xf>
    <xf numFmtId="0" fontId="29" fillId="0" borderId="0" xfId="0" applyFont="1" applyAlignment="1">
      <alignment horizontal="centerContinuous" vertical="center" wrapText="1"/>
    </xf>
    <xf numFmtId="0" fontId="30" fillId="0" borderId="0" xfId="0" applyFont="1" applyAlignment="1">
      <alignment horizontal="centerContinuous" vertical="center"/>
    </xf>
    <xf numFmtId="0" fontId="31" fillId="0" borderId="0" xfId="0" applyFont="1" applyAlignment="1">
      <alignment horizontal="centerContinuous" vertical="center" wrapText="1"/>
    </xf>
    <xf numFmtId="0" fontId="32" fillId="0" borderId="0" xfId="0" applyFont="1" applyAlignment="1">
      <alignment horizontal="centerContinuous" vertical="center"/>
    </xf>
    <xf numFmtId="0" fontId="11" fillId="0" borderId="0" xfId="0" applyFont="1" applyAlignment="1">
      <alignment horizontal="centerContinuous" vertical="center"/>
    </xf>
    <xf numFmtId="0" fontId="17" fillId="0" borderId="0" xfId="0" applyFont="1" applyAlignment="1">
      <alignment horizontal="centerContinuous" vertical="center"/>
    </xf>
    <xf numFmtId="0" fontId="24" fillId="0" borderId="0" xfId="0" applyFont="1" applyAlignment="1">
      <alignment horizontal="centerContinuous" vertical="center"/>
    </xf>
    <xf numFmtId="0" fontId="11" fillId="0" borderId="39" xfId="0" applyFont="1" applyBorder="1" applyAlignment="1">
      <alignment horizontal="centerContinuous" vertical="center"/>
    </xf>
    <xf numFmtId="0" fontId="16" fillId="0" borderId="39" xfId="0" applyFont="1" applyBorder="1" applyAlignment="1">
      <alignment horizontal="centerContinuous" vertical="center"/>
    </xf>
    <xf numFmtId="0" fontId="18" fillId="0" borderId="0" xfId="0" applyFont="1" applyAlignment="1">
      <alignment horizontal="centerContinuous" vertical="center"/>
    </xf>
    <xf numFmtId="0" fontId="35" fillId="0" borderId="0" xfId="2" applyFont="1"/>
    <xf numFmtId="0" fontId="6" fillId="0" borderId="10" xfId="0" applyFont="1" applyBorder="1"/>
    <xf numFmtId="0" fontId="6" fillId="0" borderId="0" xfId="0" applyFont="1" applyAlignment="1">
      <alignment horizontal="center"/>
    </xf>
    <xf numFmtId="0" fontId="8" fillId="0" borderId="14" xfId="0" applyFont="1" applyBorder="1" applyAlignment="1">
      <alignment vertical="center" shrinkToFit="1"/>
    </xf>
    <xf numFmtId="0" fontId="9" fillId="0" borderId="21" xfId="0" applyFont="1" applyBorder="1" applyAlignment="1">
      <alignment horizontal="left" vertical="center"/>
    </xf>
    <xf numFmtId="0" fontId="8" fillId="0" borderId="21" xfId="0" applyFont="1" applyBorder="1" applyAlignment="1">
      <alignment vertical="center" shrinkToFit="1"/>
    </xf>
    <xf numFmtId="0" fontId="6" fillId="0" borderId="16" xfId="0" applyFont="1" applyBorder="1" applyAlignment="1">
      <alignment horizontal="center" vertical="center"/>
    </xf>
    <xf numFmtId="0" fontId="9" fillId="0" borderId="16" xfId="0" applyFont="1" applyBorder="1" applyAlignment="1">
      <alignment horizontal="left" vertical="center"/>
    </xf>
    <xf numFmtId="0" fontId="8" fillId="0" borderId="16" xfId="0" applyFont="1" applyBorder="1" applyAlignment="1">
      <alignment vertical="center" shrinkToFit="1"/>
    </xf>
    <xf numFmtId="14" fontId="6" fillId="0" borderId="14" xfId="0" applyNumberFormat="1" applyFont="1" applyBorder="1" applyAlignment="1">
      <alignment horizontal="center" vertical="center"/>
    </xf>
    <xf numFmtId="14" fontId="6" fillId="0" borderId="21" xfId="0" applyNumberFormat="1" applyFont="1" applyBorder="1" applyAlignment="1">
      <alignment horizontal="center" vertical="center"/>
    </xf>
    <xf numFmtId="14" fontId="6" fillId="0" borderId="16" xfId="0" applyNumberFormat="1" applyFont="1" applyBorder="1" applyAlignment="1">
      <alignment horizontal="center" vertical="center"/>
    </xf>
    <xf numFmtId="0" fontId="9" fillId="0" borderId="14" xfId="0" applyFont="1" applyBorder="1" applyAlignment="1">
      <alignment horizontal="left" vertical="center" shrinkToFit="1"/>
    </xf>
    <xf numFmtId="0" fontId="9" fillId="0" borderId="21" xfId="0" applyFont="1" applyBorder="1" applyAlignment="1">
      <alignment horizontal="left" vertical="center" shrinkToFit="1"/>
    </xf>
    <xf numFmtId="0" fontId="9" fillId="0" borderId="16" xfId="0" applyFont="1" applyBorder="1" applyAlignment="1">
      <alignment horizontal="left" vertical="center" shrinkToFit="1"/>
    </xf>
    <xf numFmtId="0" fontId="7" fillId="0" borderId="14" xfId="0" applyFont="1" applyBorder="1" applyAlignment="1">
      <alignment vertical="center"/>
    </xf>
    <xf numFmtId="0" fontId="7" fillId="0" borderId="21" xfId="0" applyFont="1" applyBorder="1" applyAlignment="1">
      <alignment vertical="center"/>
    </xf>
    <xf numFmtId="0" fontId="7" fillId="0" borderId="16" xfId="0" applyFont="1" applyBorder="1" applyAlignment="1">
      <alignment horizontal="center" vertical="center"/>
    </xf>
    <xf numFmtId="0" fontId="7" fillId="0" borderId="16" xfId="0" applyFont="1" applyBorder="1" applyAlignment="1">
      <alignment vertical="center"/>
    </xf>
    <xf numFmtId="0" fontId="8" fillId="0" borderId="0" xfId="0" applyFont="1" applyAlignment="1">
      <alignment horizontal="centerContinuous" shrinkToFit="1"/>
    </xf>
    <xf numFmtId="185" fontId="0" fillId="0" borderId="11" xfId="0" applyNumberFormat="1" applyBorder="1" applyAlignment="1">
      <alignment horizontal="center" vertical="top"/>
    </xf>
    <xf numFmtId="185" fontId="0" fillId="0" borderId="12" xfId="0" applyNumberFormat="1" applyBorder="1" applyAlignment="1">
      <alignment horizontal="center" vertical="top"/>
    </xf>
    <xf numFmtId="185" fontId="0" fillId="0" borderId="13" xfId="0" applyNumberFormat="1" applyBorder="1" applyAlignment="1">
      <alignment horizontal="center" vertical="top"/>
    </xf>
    <xf numFmtId="0" fontId="7" fillId="0" borderId="0" xfId="0" applyFont="1" applyAlignment="1">
      <alignment horizontal="centerContinuous" vertical="center"/>
    </xf>
    <xf numFmtId="0" fontId="13" fillId="0" borderId="0" xfId="0" applyFont="1" applyAlignment="1">
      <alignment horizontal="centerContinuous" vertical="center"/>
    </xf>
    <xf numFmtId="0" fontId="0" fillId="0" borderId="39" xfId="0" applyBorder="1" applyAlignment="1">
      <alignment horizontal="center" vertical="center"/>
    </xf>
    <xf numFmtId="0" fontId="0" fillId="0" borderId="81" xfId="0" applyBorder="1" applyAlignment="1">
      <alignment horizontal="left"/>
    </xf>
    <xf numFmtId="0" fontId="0" fillId="0" borderId="76" xfId="0" applyBorder="1" applyAlignment="1">
      <alignment horizontal="centerContinuous"/>
    </xf>
    <xf numFmtId="0" fontId="0" fillId="0" borderId="82" xfId="0" applyBorder="1" applyAlignment="1">
      <alignment horizontal="centerContinuous"/>
    </xf>
    <xf numFmtId="0" fontId="6" fillId="0" borderId="81" xfId="0" applyFont="1" applyBorder="1" applyAlignment="1">
      <alignment horizontal="centerContinuous"/>
    </xf>
    <xf numFmtId="0" fontId="6" fillId="0" borderId="76" xfId="0" applyFont="1" applyBorder="1" applyAlignment="1">
      <alignment horizontal="centerContinuous"/>
    </xf>
    <xf numFmtId="0" fontId="6" fillId="0" borderId="82" xfId="0" applyFont="1" applyBorder="1" applyAlignment="1">
      <alignment horizontal="centerContinuous"/>
    </xf>
    <xf numFmtId="0" fontId="8" fillId="0" borderId="82" xfId="0" applyFont="1" applyBorder="1" applyAlignment="1">
      <alignment horizontal="left" vertical="center" shrinkToFit="1"/>
    </xf>
    <xf numFmtId="0" fontId="0" fillId="0" borderId="76" xfId="0" applyBorder="1"/>
    <xf numFmtId="0" fontId="0" fillId="0" borderId="82" xfId="0" applyBorder="1"/>
    <xf numFmtId="0" fontId="6" fillId="0" borderId="15" xfId="0" applyFont="1" applyBorder="1" applyAlignment="1">
      <alignment horizontal="center" vertical="center"/>
    </xf>
    <xf numFmtId="0" fontId="6" fillId="0" borderId="20" xfId="0" applyFont="1" applyBorder="1" applyAlignment="1">
      <alignment horizontal="center" vertical="center"/>
    </xf>
    <xf numFmtId="0" fontId="6" fillId="0" borderId="18" xfId="0" applyFont="1" applyBorder="1" applyAlignment="1">
      <alignment horizontal="center" vertical="center"/>
    </xf>
    <xf numFmtId="0" fontId="6" fillId="0" borderId="16" xfId="0" applyFont="1" applyBorder="1" applyAlignment="1">
      <alignment vertical="center"/>
    </xf>
    <xf numFmtId="0" fontId="6" fillId="0" borderId="21" xfId="0" applyFont="1" applyBorder="1" applyAlignment="1">
      <alignment vertical="center"/>
    </xf>
    <xf numFmtId="0" fontId="6" fillId="0" borderId="14" xfId="0" applyFont="1" applyBorder="1" applyAlignment="1">
      <alignment vertical="center"/>
    </xf>
    <xf numFmtId="0" fontId="7" fillId="0" borderId="21" xfId="0" applyFont="1" applyBorder="1"/>
    <xf numFmtId="0" fontId="6" fillId="0" borderId="16" xfId="0" applyFont="1" applyBorder="1" applyAlignment="1">
      <alignment horizontal="left" vertical="center"/>
    </xf>
    <xf numFmtId="0" fontId="6" fillId="0" borderId="21" xfId="0" applyFont="1" applyBorder="1" applyAlignment="1">
      <alignment horizontal="left" vertical="center"/>
    </xf>
    <xf numFmtId="0" fontId="6" fillId="0" borderId="14" xfId="0" applyFont="1" applyBorder="1" applyAlignment="1">
      <alignment horizontal="left" vertical="center"/>
    </xf>
    <xf numFmtId="49" fontId="0" fillId="2" borderId="16" xfId="0" applyNumberFormat="1" applyFill="1" applyBorder="1" applyAlignment="1" applyProtection="1">
      <alignment horizontal="center" vertical="center"/>
      <protection locked="0"/>
    </xf>
    <xf numFmtId="49" fontId="0" fillId="2" borderId="17" xfId="0" applyNumberFormat="1" applyFill="1" applyBorder="1" applyAlignment="1" applyProtection="1">
      <alignment horizontal="center" vertical="center" shrinkToFit="1"/>
      <protection locked="0"/>
    </xf>
    <xf numFmtId="49" fontId="0" fillId="2" borderId="14" xfId="0" applyNumberFormat="1" applyFill="1" applyBorder="1" applyAlignment="1" applyProtection="1">
      <alignment horizontal="center" vertical="center"/>
      <protection locked="0"/>
    </xf>
    <xf numFmtId="49" fontId="0" fillId="2" borderId="19" xfId="0" applyNumberFormat="1" applyFill="1" applyBorder="1" applyAlignment="1" applyProtection="1">
      <alignment horizontal="center" vertical="center" shrinkToFit="1"/>
      <protection locked="0"/>
    </xf>
    <xf numFmtId="49" fontId="0" fillId="2" borderId="21" xfId="0" applyNumberFormat="1" applyFill="1" applyBorder="1" applyAlignment="1" applyProtection="1">
      <alignment horizontal="center" vertical="center"/>
      <protection locked="0"/>
    </xf>
    <xf numFmtId="49" fontId="0" fillId="2" borderId="22" xfId="0" applyNumberFormat="1" applyFill="1" applyBorder="1" applyAlignment="1" applyProtection="1">
      <alignment horizontal="center" vertical="center" shrinkToFit="1"/>
      <protection locked="0"/>
    </xf>
    <xf numFmtId="0" fontId="8" fillId="0" borderId="81" xfId="0" applyFont="1" applyBorder="1" applyAlignment="1">
      <alignment horizontal="left" vertical="center"/>
    </xf>
    <xf numFmtId="0" fontId="1" fillId="0" borderId="0" xfId="3" applyAlignment="1">
      <alignment vertical="center" shrinkToFit="1"/>
    </xf>
    <xf numFmtId="0" fontId="1" fillId="0" borderId="0" xfId="3">
      <alignment vertical="center"/>
    </xf>
    <xf numFmtId="0" fontId="1" fillId="0" borderId="0" xfId="3" applyAlignment="1">
      <alignment horizontal="center" vertical="center" shrinkToFit="1"/>
    </xf>
    <xf numFmtId="0" fontId="1" fillId="0" borderId="0" xfId="3" applyAlignment="1">
      <alignment horizontal="center" vertical="center"/>
    </xf>
    <xf numFmtId="0" fontId="14" fillId="0" borderId="14" xfId="0" applyFont="1" applyBorder="1" applyAlignment="1">
      <alignment horizontal="center" vertical="center" wrapText="1"/>
    </xf>
    <xf numFmtId="0" fontId="37" fillId="0" borderId="14" xfId="0" applyFont="1" applyBorder="1"/>
    <xf numFmtId="0" fontId="37" fillId="0" borderId="14" xfId="0" applyFont="1" applyBorder="1" applyAlignment="1">
      <alignment wrapText="1"/>
    </xf>
    <xf numFmtId="0" fontId="9" fillId="0" borderId="14" xfId="0" applyFont="1" applyBorder="1" applyAlignment="1">
      <alignment shrinkToFit="1"/>
    </xf>
    <xf numFmtId="49" fontId="0" fillId="2" borderId="48" xfId="0" applyNumberFormat="1" applyFill="1" applyBorder="1" applyAlignment="1" applyProtection="1">
      <alignment horizontal="center" vertical="center"/>
      <protection locked="0"/>
    </xf>
    <xf numFmtId="49" fontId="0" fillId="2" borderId="62" xfId="0" applyNumberFormat="1" applyFill="1" applyBorder="1" applyAlignment="1" applyProtection="1">
      <alignment horizontal="center" vertical="center"/>
      <protection locked="0"/>
    </xf>
    <xf numFmtId="49" fontId="0" fillId="2" borderId="111" xfId="0" applyNumberFormat="1" applyFill="1" applyBorder="1" applyAlignment="1" applyProtection="1">
      <alignment horizontal="center" vertical="center"/>
      <protection locked="0"/>
    </xf>
    <xf numFmtId="0" fontId="9" fillId="0" borderId="0" xfId="0" applyFont="1" applyAlignment="1">
      <alignment wrapText="1"/>
    </xf>
    <xf numFmtId="3" fontId="30" fillId="0" borderId="39" xfId="0" applyNumberFormat="1" applyFont="1" applyBorder="1" applyAlignment="1">
      <alignment vertical="center" shrinkToFit="1"/>
    </xf>
    <xf numFmtId="3" fontId="30" fillId="0" borderId="88" xfId="0" applyNumberFormat="1" applyFont="1" applyBorder="1" applyAlignment="1">
      <alignment vertical="center"/>
    </xf>
    <xf numFmtId="3" fontId="30" fillId="0" borderId="21" xfId="0" applyNumberFormat="1" applyFont="1" applyBorder="1" applyAlignment="1">
      <alignment vertical="center"/>
    </xf>
    <xf numFmtId="0" fontId="0" fillId="0" borderId="62" xfId="0" applyBorder="1"/>
    <xf numFmtId="0" fontId="7" fillId="0" borderId="0" xfId="0" applyFont="1" applyAlignment="1">
      <alignment vertical="center"/>
    </xf>
    <xf numFmtId="14" fontId="6" fillId="0" borderId="14" xfId="0" applyNumberFormat="1" applyFont="1" applyBorder="1" applyAlignment="1">
      <alignment vertical="center"/>
    </xf>
    <xf numFmtId="0" fontId="7" fillId="0" borderId="14" xfId="0" applyFont="1" applyBorder="1" applyAlignment="1">
      <alignment vertical="center" shrinkToFit="1"/>
    </xf>
    <xf numFmtId="0" fontId="9" fillId="0" borderId="14" xfId="0" applyFont="1" applyBorder="1" applyAlignment="1">
      <alignment vertical="center" shrinkToFit="1"/>
    </xf>
    <xf numFmtId="0" fontId="9" fillId="0" borderId="39" xfId="0" applyFont="1" applyBorder="1"/>
    <xf numFmtId="0" fontId="0" fillId="0" borderId="63" xfId="0" applyBorder="1"/>
    <xf numFmtId="0" fontId="0" fillId="0" borderId="65" xfId="0" applyBorder="1"/>
    <xf numFmtId="0" fontId="33" fillId="0" borderId="0" xfId="0" applyFont="1" applyAlignment="1">
      <alignment horizontal="right" vertical="center"/>
    </xf>
    <xf numFmtId="0" fontId="38" fillId="0" borderId="0" xfId="0" applyFont="1" applyAlignment="1">
      <alignment horizontal="right" vertical="center"/>
    </xf>
    <xf numFmtId="0" fontId="19" fillId="0" borderId="14" xfId="0" applyFont="1" applyBorder="1" applyAlignment="1">
      <alignment horizontal="left" vertical="center" wrapText="1"/>
    </xf>
    <xf numFmtId="0" fontId="0" fillId="0" borderId="39" xfId="0" applyBorder="1" applyAlignment="1">
      <alignment horizontal="right" vertical="center" indent="1"/>
    </xf>
    <xf numFmtId="0" fontId="30" fillId="2" borderId="0" xfId="0" applyFont="1" applyFill="1" applyAlignment="1">
      <alignment vertical="center" shrinkToFit="1"/>
    </xf>
    <xf numFmtId="0" fontId="0" fillId="0" borderId="34" xfId="0" applyBorder="1" applyAlignment="1">
      <alignment horizontal="right"/>
    </xf>
    <xf numFmtId="0" fontId="25" fillId="0" borderId="62" xfId="0" applyFont="1" applyBorder="1" applyAlignment="1">
      <alignment vertical="center"/>
    </xf>
    <xf numFmtId="0" fontId="30" fillId="0" borderId="62" xfId="0" applyFont="1" applyBorder="1" applyAlignment="1">
      <alignment vertical="center"/>
    </xf>
    <xf numFmtId="0" fontId="30" fillId="0" borderId="63" xfId="0" applyFont="1" applyBorder="1" applyAlignment="1">
      <alignment vertical="center"/>
    </xf>
    <xf numFmtId="0" fontId="30" fillId="0" borderId="65" xfId="0" applyFont="1" applyBorder="1" applyAlignment="1">
      <alignment vertical="center"/>
    </xf>
    <xf numFmtId="0" fontId="0" fillId="0" borderId="16" xfId="0" applyBorder="1"/>
    <xf numFmtId="0" fontId="13" fillId="0" borderId="17" xfId="0" applyFont="1" applyBorder="1"/>
    <xf numFmtId="14" fontId="0" fillId="2" borderId="14" xfId="0" applyNumberFormat="1" applyFill="1" applyBorder="1" applyProtection="1">
      <protection locked="0"/>
    </xf>
    <xf numFmtId="186" fontId="13" fillId="2" borderId="19" xfId="0" applyNumberFormat="1" applyFont="1" applyFill="1" applyBorder="1" applyProtection="1">
      <protection locked="0"/>
    </xf>
    <xf numFmtId="14" fontId="0" fillId="2" borderId="21" xfId="0" applyNumberFormat="1" applyFill="1" applyBorder="1" applyProtection="1">
      <protection locked="0"/>
    </xf>
    <xf numFmtId="186" fontId="13" fillId="2" borderId="22" xfId="0" applyNumberFormat="1" applyFont="1" applyFill="1" applyBorder="1" applyProtection="1">
      <protection locked="0"/>
    </xf>
    <xf numFmtId="14" fontId="8" fillId="0" borderId="0" xfId="0" applyNumberFormat="1" applyFont="1"/>
    <xf numFmtId="0" fontId="6" fillId="0" borderId="14" xfId="0" applyFont="1" applyBorder="1" applyAlignment="1">
      <alignment vertical="center" shrinkToFit="1"/>
    </xf>
    <xf numFmtId="0" fontId="34" fillId="2" borderId="0" xfId="0" applyFont="1" applyFill="1" applyAlignment="1">
      <alignment vertical="center" wrapText="1"/>
    </xf>
    <xf numFmtId="0" fontId="14" fillId="0" borderId="105" xfId="0" applyFont="1" applyBorder="1" applyAlignment="1">
      <alignment horizontal="center" vertical="center" wrapText="1" shrinkToFit="1"/>
    </xf>
    <xf numFmtId="0" fontId="14" fillId="0" borderId="106" xfId="0" applyFont="1" applyBorder="1" applyAlignment="1">
      <alignment horizontal="center" vertical="center" wrapText="1" shrinkToFit="1"/>
    </xf>
    <xf numFmtId="0" fontId="8" fillId="0" borderId="106" xfId="0" applyFont="1" applyBorder="1" applyAlignment="1">
      <alignment horizontal="center" vertical="center" wrapText="1"/>
    </xf>
    <xf numFmtId="0" fontId="8" fillId="0" borderId="106" xfId="0" applyFont="1" applyBorder="1" applyAlignment="1">
      <alignment horizontal="left" vertical="center"/>
    </xf>
    <xf numFmtId="0" fontId="8" fillId="0" borderId="106" xfId="0" applyFont="1" applyBorder="1" applyAlignment="1">
      <alignment horizontal="center" vertical="center" shrinkToFit="1"/>
    </xf>
    <xf numFmtId="0" fontId="14" fillId="0" borderId="106" xfId="0" applyFont="1" applyBorder="1" applyAlignment="1">
      <alignment horizontal="center" vertical="center" wrapText="1"/>
    </xf>
    <xf numFmtId="0" fontId="27" fillId="0" borderId="106" xfId="0" applyFont="1" applyBorder="1" applyAlignment="1">
      <alignment horizontal="center" vertical="center" wrapText="1"/>
    </xf>
    <xf numFmtId="0" fontId="14" fillId="0" borderId="51" xfId="0" applyFont="1" applyBorder="1" applyAlignment="1">
      <alignment horizontal="center" vertical="center" wrapText="1"/>
    </xf>
    <xf numFmtId="0" fontId="7" fillId="0" borderId="14" xfId="0" applyFont="1" applyBorder="1" applyAlignment="1">
      <alignment horizontal="center" vertical="center"/>
    </xf>
    <xf numFmtId="0" fontId="6" fillId="0" borderId="28" xfId="0" applyFont="1" applyBorder="1" applyAlignment="1">
      <alignment horizontal="center" vertical="center"/>
    </xf>
    <xf numFmtId="0" fontId="6" fillId="0" borderId="88" xfId="0" applyFont="1" applyBorder="1" applyAlignment="1">
      <alignment horizontal="center" vertical="center"/>
    </xf>
    <xf numFmtId="14" fontId="6" fillId="0" borderId="88" xfId="0" applyNumberFormat="1" applyFont="1" applyBorder="1" applyAlignment="1">
      <alignment horizontal="center" vertical="center"/>
    </xf>
    <xf numFmtId="0" fontId="6" fillId="0" borderId="88" xfId="0" applyFont="1" applyBorder="1" applyAlignment="1">
      <alignment horizontal="left" vertical="center"/>
    </xf>
    <xf numFmtId="0" fontId="9" fillId="0" borderId="88" xfId="0" applyFont="1" applyBorder="1" applyAlignment="1">
      <alignment horizontal="left" vertical="center"/>
    </xf>
    <xf numFmtId="0" fontId="9" fillId="0" borderId="88" xfId="0" applyFont="1" applyBorder="1" applyAlignment="1">
      <alignment horizontal="left" vertical="center" shrinkToFit="1"/>
    </xf>
    <xf numFmtId="0" fontId="7" fillId="0" borderId="88" xfId="0" applyFont="1" applyBorder="1" applyAlignment="1">
      <alignment vertical="center"/>
    </xf>
    <xf numFmtId="0" fontId="8" fillId="0" borderId="88" xfId="0" applyFont="1" applyBorder="1" applyAlignment="1">
      <alignment vertical="center" shrinkToFit="1"/>
    </xf>
    <xf numFmtId="0" fontId="7" fillId="0" borderId="88" xfId="0" applyFont="1" applyBorder="1" applyAlignment="1">
      <alignment horizontal="center" vertical="center"/>
    </xf>
    <xf numFmtId="0" fontId="0" fillId="0" borderId="52" xfId="0" applyBorder="1"/>
    <xf numFmtId="185" fontId="0" fillId="0" borderId="116" xfId="0" applyNumberFormat="1" applyBorder="1" applyAlignment="1">
      <alignment horizontal="center" vertical="top"/>
    </xf>
    <xf numFmtId="0" fontId="13" fillId="0" borderId="78" xfId="0" applyFont="1" applyBorder="1"/>
    <xf numFmtId="0" fontId="0" fillId="0" borderId="2" xfId="0" applyBorder="1" applyAlignment="1">
      <alignment horizontal="center" vertical="center"/>
    </xf>
    <xf numFmtId="0" fontId="12" fillId="0" borderId="0" xfId="0" applyFont="1"/>
    <xf numFmtId="0" fontId="43" fillId="0" borderId="0" xfId="0" applyFont="1"/>
    <xf numFmtId="0" fontId="44" fillId="0" borderId="0" xfId="0" applyFont="1"/>
    <xf numFmtId="0" fontId="45" fillId="0" borderId="0" xfId="2" applyFont="1"/>
    <xf numFmtId="0" fontId="0" fillId="0" borderId="0" xfId="0" applyAlignment="1" applyProtection="1">
      <alignment horizontal="left" vertical="center" indent="1"/>
      <protection locked="0"/>
    </xf>
    <xf numFmtId="0" fontId="0" fillId="0" borderId="76" xfId="0" applyBorder="1" applyAlignment="1">
      <alignment vertical="center"/>
    </xf>
    <xf numFmtId="0" fontId="13" fillId="0" borderId="7" xfId="0" applyFont="1" applyBorder="1"/>
    <xf numFmtId="0" fontId="17" fillId="0" borderId="0" xfId="0" applyFont="1" applyAlignment="1">
      <alignment vertical="center"/>
    </xf>
    <xf numFmtId="0" fontId="10" fillId="0" borderId="0" xfId="0" applyFont="1"/>
    <xf numFmtId="0" fontId="0" fillId="0" borderId="117" xfId="0" applyBorder="1" applyAlignment="1">
      <alignment horizontal="center" vertical="center"/>
    </xf>
    <xf numFmtId="0" fontId="0" fillId="0" borderId="117" xfId="0" applyBorder="1"/>
    <xf numFmtId="0" fontId="0" fillId="0" borderId="77" xfId="0" applyBorder="1" applyAlignment="1">
      <alignment horizontal="center" vertical="center"/>
    </xf>
    <xf numFmtId="0" fontId="5" fillId="0" borderId="77" xfId="0" applyFont="1" applyBorder="1" applyAlignment="1">
      <alignment vertical="center"/>
    </xf>
    <xf numFmtId="0" fontId="0" fillId="0" borderId="77" xfId="0" applyBorder="1"/>
    <xf numFmtId="0" fontId="0" fillId="0" borderId="118" xfId="0" applyBorder="1"/>
    <xf numFmtId="0" fontId="0" fillId="0" borderId="119" xfId="0" applyBorder="1"/>
    <xf numFmtId="185" fontId="0" fillId="0" borderId="30" xfId="0" applyNumberFormat="1" applyBorder="1" applyAlignment="1">
      <alignment horizontal="center" vertical="top"/>
    </xf>
    <xf numFmtId="0" fontId="0" fillId="0" borderId="31" xfId="0" applyBorder="1" applyAlignment="1">
      <alignment horizontal="center" vertical="center"/>
    </xf>
    <xf numFmtId="185" fontId="0" fillId="0" borderId="120" xfId="0" applyNumberFormat="1" applyBorder="1" applyAlignment="1">
      <alignment horizontal="center" vertical="top"/>
    </xf>
    <xf numFmtId="0" fontId="0" fillId="0" borderId="2" xfId="0" applyBorder="1"/>
    <xf numFmtId="0" fontId="0" fillId="0" borderId="3" xfId="0" applyBorder="1"/>
    <xf numFmtId="0" fontId="7" fillId="0" borderId="122" xfId="0" applyFont="1" applyBorder="1" applyAlignment="1">
      <alignment horizontal="center" vertical="center"/>
    </xf>
    <xf numFmtId="0" fontId="7" fillId="0" borderId="122" xfId="0" applyFont="1" applyBorder="1" applyAlignment="1">
      <alignment horizontal="center" vertical="center" wrapText="1"/>
    </xf>
    <xf numFmtId="0" fontId="8" fillId="0" borderId="122" xfId="0" applyFont="1" applyBorder="1" applyAlignment="1">
      <alignment horizontal="center" vertical="center" wrapText="1"/>
    </xf>
    <xf numFmtId="0" fontId="0" fillId="0" borderId="123" xfId="0" applyBorder="1" applyAlignment="1">
      <alignment horizontal="center" vertical="center"/>
    </xf>
    <xf numFmtId="0" fontId="0" fillId="0" borderId="101" xfId="0" applyBorder="1" applyAlignment="1">
      <alignment horizontal="center" vertical="center"/>
    </xf>
    <xf numFmtId="0" fontId="0" fillId="0" borderId="101" xfId="0" applyBorder="1"/>
    <xf numFmtId="0" fontId="0" fillId="0" borderId="124" xfId="0" applyBorder="1"/>
    <xf numFmtId="0" fontId="24" fillId="0" borderId="27" xfId="0" applyFont="1" applyBorder="1" applyAlignment="1">
      <alignment horizontal="center" vertical="center"/>
    </xf>
    <xf numFmtId="0" fontId="47" fillId="0" borderId="0" xfId="0" applyFont="1" applyAlignment="1">
      <alignment vertical="center"/>
    </xf>
    <xf numFmtId="0" fontId="20" fillId="0" borderId="0" xfId="0" applyFont="1" applyAlignment="1">
      <alignment horizontal="center" vertical="center"/>
    </xf>
    <xf numFmtId="0" fontId="6" fillId="0" borderId="78" xfId="0" applyFont="1" applyBorder="1" applyAlignment="1">
      <alignment horizontal="right"/>
    </xf>
    <xf numFmtId="0" fontId="7" fillId="0" borderId="78" xfId="0" applyFont="1" applyBorder="1" applyAlignment="1">
      <alignment horizontal="right"/>
    </xf>
    <xf numFmtId="0" fontId="0" fillId="0" borderId="2" xfId="0" applyBorder="1" applyAlignment="1">
      <alignment vertical="center" wrapText="1"/>
    </xf>
    <xf numFmtId="0" fontId="0" fillId="0" borderId="2" xfId="0" applyBorder="1" applyAlignment="1">
      <alignment vertical="center"/>
    </xf>
    <xf numFmtId="0" fontId="0" fillId="0" borderId="1" xfId="0" applyBorder="1" applyAlignment="1">
      <alignment vertical="center"/>
    </xf>
    <xf numFmtId="0" fontId="0" fillId="0" borderId="121" xfId="0" applyBorder="1" applyAlignment="1">
      <alignment vertical="center"/>
    </xf>
    <xf numFmtId="0" fontId="6" fillId="0" borderId="2" xfId="0" applyFont="1" applyBorder="1" applyAlignment="1">
      <alignment horizontal="center" vertical="center" wrapText="1"/>
    </xf>
    <xf numFmtId="0" fontId="7" fillId="0" borderId="122" xfId="0" applyFont="1" applyBorder="1" applyAlignment="1">
      <alignment horizontal="center" vertical="center"/>
    </xf>
    <xf numFmtId="0" fontId="0" fillId="0" borderId="122" xfId="0" applyBorder="1" applyAlignment="1">
      <alignment vertical="center"/>
    </xf>
    <xf numFmtId="0" fontId="0" fillId="2" borderId="62" xfId="0" applyFill="1" applyBorder="1" applyProtection="1">
      <protection locked="0"/>
    </xf>
    <xf numFmtId="0" fontId="0" fillId="2" borderId="65" xfId="0" applyFill="1" applyBorder="1" applyProtection="1">
      <protection locked="0"/>
    </xf>
    <xf numFmtId="0" fontId="0" fillId="2" borderId="111" xfId="0" applyFill="1" applyBorder="1" applyProtection="1">
      <protection locked="0"/>
    </xf>
    <xf numFmtId="0" fontId="0" fillId="2" borderId="115" xfId="0" applyFill="1" applyBorder="1" applyProtection="1">
      <protection locked="0"/>
    </xf>
    <xf numFmtId="49" fontId="26" fillId="2" borderId="14" xfId="2" applyNumberFormat="1" applyFill="1" applyBorder="1" applyAlignment="1" applyProtection="1">
      <alignment horizontal="left" vertical="center" indent="1" shrinkToFit="1"/>
      <protection locked="0"/>
    </xf>
    <xf numFmtId="49" fontId="0" fillId="2" borderId="14" xfId="0" applyNumberFormat="1" applyFill="1" applyBorder="1" applyAlignment="1" applyProtection="1">
      <alignment horizontal="left" vertical="center" indent="1" shrinkToFit="1"/>
      <protection locked="0"/>
    </xf>
    <xf numFmtId="49" fontId="0" fillId="2" borderId="19" xfId="0" applyNumberFormat="1" applyFill="1" applyBorder="1" applyAlignment="1" applyProtection="1">
      <alignment horizontal="left" vertical="center" indent="1" shrinkToFit="1"/>
      <protection locked="0"/>
    </xf>
    <xf numFmtId="49" fontId="0" fillId="2" borderId="18" xfId="0" applyNumberFormat="1" applyFill="1" applyBorder="1" applyAlignment="1" applyProtection="1">
      <alignment horizontal="left" vertical="center" indent="1" shrinkToFit="1"/>
      <protection locked="0"/>
    </xf>
    <xf numFmtId="49" fontId="0" fillId="2" borderId="20" xfId="0" applyNumberFormat="1" applyFill="1" applyBorder="1" applyAlignment="1" applyProtection="1">
      <alignment horizontal="left" vertical="center" indent="1" shrinkToFit="1"/>
      <protection locked="0"/>
    </xf>
    <xf numFmtId="49" fontId="0" fillId="2" borderId="21" xfId="0" applyNumberFormat="1" applyFill="1" applyBorder="1" applyAlignment="1" applyProtection="1">
      <alignment horizontal="left" vertical="center" indent="1" shrinkToFit="1"/>
      <protection locked="0"/>
    </xf>
    <xf numFmtId="49" fontId="0" fillId="2" borderId="22" xfId="0" applyNumberFormat="1" applyFill="1" applyBorder="1" applyAlignment="1" applyProtection="1">
      <alignment horizontal="left" vertical="center" indent="1" shrinkToFit="1"/>
      <protection locked="0"/>
    </xf>
    <xf numFmtId="49" fontId="0" fillId="2" borderId="62" xfId="0" applyNumberFormat="1" applyFill="1" applyBorder="1" applyAlignment="1" applyProtection="1">
      <alignment horizontal="left" vertical="center" indent="1" shrinkToFit="1"/>
      <protection locked="0"/>
    </xf>
    <xf numFmtId="49" fontId="0" fillId="0" borderId="63" xfId="0" applyNumberFormat="1" applyBorder="1" applyAlignment="1" applyProtection="1">
      <alignment horizontal="left" vertical="center" indent="1" shrinkToFit="1"/>
      <protection locked="0"/>
    </xf>
    <xf numFmtId="49" fontId="0" fillId="0" borderId="90" xfId="0" applyNumberFormat="1" applyBorder="1" applyAlignment="1" applyProtection="1">
      <alignment horizontal="left" vertical="center" indent="1" shrinkToFit="1"/>
      <protection locked="0"/>
    </xf>
    <xf numFmtId="49" fontId="9" fillId="2" borderId="71" xfId="0" applyNumberFormat="1" applyFont="1" applyFill="1" applyBorder="1" applyAlignment="1" applyProtection="1">
      <alignment vertical="center" shrinkToFit="1"/>
      <protection locked="0"/>
    </xf>
    <xf numFmtId="49" fontId="9" fillId="2" borderId="72" xfId="0" applyNumberFormat="1" applyFont="1" applyFill="1" applyBorder="1" applyAlignment="1" applyProtection="1">
      <alignment vertical="center" shrinkToFit="1"/>
      <protection locked="0"/>
    </xf>
    <xf numFmtId="49" fontId="9" fillId="2" borderId="64" xfId="0" applyNumberFormat="1" applyFont="1" applyFill="1" applyBorder="1" applyAlignment="1" applyProtection="1">
      <alignment vertical="center" shrinkToFit="1"/>
      <protection locked="0"/>
    </xf>
    <xf numFmtId="0" fontId="0" fillId="0" borderId="56" xfId="0" applyBorder="1" applyAlignment="1">
      <alignment vertical="center"/>
    </xf>
    <xf numFmtId="0" fontId="0" fillId="0" borderId="57" xfId="0" applyBorder="1" applyAlignment="1">
      <alignment vertical="center"/>
    </xf>
    <xf numFmtId="0" fontId="0" fillId="0" borderId="89" xfId="0" applyBorder="1" applyAlignment="1">
      <alignment vertical="center"/>
    </xf>
    <xf numFmtId="0" fontId="0" fillId="0" borderId="90" xfId="0" applyBorder="1" applyAlignment="1">
      <alignment vertical="center"/>
    </xf>
    <xf numFmtId="0" fontId="7" fillId="0" borderId="81" xfId="0" applyFont="1" applyBorder="1" applyAlignment="1">
      <alignment vertical="center" wrapText="1"/>
    </xf>
    <xf numFmtId="0" fontId="7" fillId="0" borderId="76" xfId="0" applyFont="1" applyBorder="1" applyAlignment="1">
      <alignment vertical="center" wrapText="1"/>
    </xf>
    <xf numFmtId="0" fontId="7" fillId="0" borderId="82" xfId="0" applyFont="1" applyBorder="1" applyAlignment="1">
      <alignment vertical="center" wrapText="1"/>
    </xf>
    <xf numFmtId="0" fontId="7" fillId="0" borderId="83" xfId="0" applyFont="1" applyBorder="1" applyAlignment="1">
      <alignment vertical="center" wrapText="1"/>
    </xf>
    <xf numFmtId="0" fontId="7" fillId="0" borderId="0" xfId="0" applyFont="1" applyAlignment="1">
      <alignment vertical="center" wrapText="1"/>
    </xf>
    <xf numFmtId="0" fontId="7" fillId="0" borderId="84" xfId="0" applyFont="1" applyBorder="1" applyAlignment="1">
      <alignment vertical="center" wrapText="1"/>
    </xf>
    <xf numFmtId="0" fontId="7" fillId="0" borderId="85" xfId="0" applyFont="1" applyBorder="1" applyAlignment="1">
      <alignment vertical="center" wrapText="1"/>
    </xf>
    <xf numFmtId="0" fontId="7" fillId="0" borderId="39" xfId="0" applyFont="1" applyBorder="1" applyAlignment="1">
      <alignment vertical="center" wrapText="1"/>
    </xf>
    <xf numFmtId="0" fontId="7" fillId="0" borderId="86" xfId="0" applyFont="1" applyBorder="1" applyAlignment="1">
      <alignment vertical="center" wrapText="1"/>
    </xf>
    <xf numFmtId="0" fontId="0" fillId="0" borderId="93" xfId="0" applyBorder="1" applyAlignment="1">
      <alignment vertical="center"/>
    </xf>
    <xf numFmtId="0" fontId="0" fillId="0" borderId="94" xfId="0" applyBorder="1" applyAlignment="1">
      <alignment vertical="center"/>
    </xf>
    <xf numFmtId="0" fontId="0" fillId="0" borderId="91" xfId="0" applyBorder="1" applyAlignment="1">
      <alignment vertical="center"/>
    </xf>
    <xf numFmtId="0" fontId="0" fillId="0" borderId="92" xfId="0" applyBorder="1" applyAlignment="1">
      <alignment vertical="center"/>
    </xf>
    <xf numFmtId="0" fontId="0" fillId="0" borderId="48" xfId="0" applyBorder="1"/>
    <xf numFmtId="0" fontId="0" fillId="0" borderId="50" xfId="0" applyBorder="1"/>
    <xf numFmtId="0" fontId="0" fillId="0" borderId="76" xfId="0" applyBorder="1" applyAlignment="1">
      <alignment vertical="center" wrapText="1"/>
    </xf>
    <xf numFmtId="0" fontId="0" fillId="0" borderId="82" xfId="0" applyBorder="1" applyAlignment="1">
      <alignment vertical="center" wrapText="1"/>
    </xf>
    <xf numFmtId="0" fontId="0" fillId="0" borderId="83" xfId="0" applyBorder="1" applyAlignment="1">
      <alignment vertical="center" wrapText="1"/>
    </xf>
    <xf numFmtId="0" fontId="0" fillId="0" borderId="0" xfId="0" applyAlignment="1">
      <alignment vertical="center" wrapText="1"/>
    </xf>
    <xf numFmtId="0" fontId="0" fillId="0" borderId="84" xfId="0" applyBorder="1" applyAlignment="1">
      <alignment vertical="center" wrapText="1"/>
    </xf>
    <xf numFmtId="0" fontId="0" fillId="0" borderId="85" xfId="0" applyBorder="1" applyAlignment="1">
      <alignment vertical="center" wrapText="1"/>
    </xf>
    <xf numFmtId="0" fontId="0" fillId="0" borderId="39" xfId="0" applyBorder="1" applyAlignment="1">
      <alignment vertical="center" wrapText="1"/>
    </xf>
    <xf numFmtId="0" fontId="0" fillId="0" borderId="86" xfId="0" applyBorder="1" applyAlignment="1">
      <alignment vertical="center" wrapText="1"/>
    </xf>
    <xf numFmtId="49" fontId="0" fillId="2" borderId="59" xfId="0" applyNumberFormat="1" applyFill="1" applyBorder="1" applyAlignment="1" applyProtection="1">
      <alignment horizontal="left" vertical="center" indent="1" shrinkToFit="1"/>
      <protection locked="0"/>
    </xf>
    <xf numFmtId="49" fontId="0" fillId="2" borderId="60" xfId="0" applyNumberFormat="1" applyFill="1" applyBorder="1" applyAlignment="1" applyProtection="1">
      <alignment horizontal="left" vertical="center" indent="1" shrinkToFit="1"/>
      <protection locked="0"/>
    </xf>
    <xf numFmtId="49" fontId="0" fillId="2" borderId="61" xfId="0" applyNumberFormat="1" applyFill="1" applyBorder="1" applyAlignment="1" applyProtection="1">
      <alignment horizontal="left" vertical="center" indent="1" shrinkToFit="1"/>
      <protection locked="0"/>
    </xf>
    <xf numFmtId="0" fontId="0" fillId="0" borderId="27" xfId="0" applyBorder="1" applyAlignment="1">
      <alignment horizontal="center" vertical="center" wrapText="1"/>
    </xf>
    <xf numFmtId="0" fontId="0" fillId="0" borderId="29" xfId="0" applyBorder="1" applyAlignment="1">
      <alignment horizontal="center" vertical="center"/>
    </xf>
    <xf numFmtId="0" fontId="0" fillId="0" borderId="55" xfId="0" applyBorder="1" applyAlignment="1">
      <alignment horizontal="center" vertical="center"/>
    </xf>
    <xf numFmtId="0" fontId="0" fillId="0" borderId="15" xfId="0" applyBorder="1"/>
    <xf numFmtId="0" fontId="0" fillId="0" borderId="16" xfId="0" applyBorder="1"/>
    <xf numFmtId="0" fontId="0" fillId="0" borderId="17" xfId="0" applyBorder="1"/>
    <xf numFmtId="0" fontId="0" fillId="0" borderId="28" xfId="0" applyBorder="1" applyAlignment="1">
      <alignment horizontal="center" vertical="center"/>
    </xf>
    <xf numFmtId="49" fontId="0" fillId="2" borderId="23" xfId="0" applyNumberFormat="1" applyFill="1" applyBorder="1" applyAlignment="1" applyProtection="1">
      <alignment horizontal="left" vertical="center" indent="1" shrinkToFit="1"/>
      <protection locked="0"/>
    </xf>
    <xf numFmtId="49" fontId="0" fillId="2" borderId="24" xfId="0" applyNumberFormat="1" applyFill="1" applyBorder="1" applyAlignment="1" applyProtection="1">
      <alignment horizontal="left" vertical="center" indent="1" shrinkToFit="1"/>
      <protection locked="0"/>
    </xf>
    <xf numFmtId="49" fontId="0" fillId="2" borderId="25" xfId="0" applyNumberFormat="1" applyFill="1" applyBorder="1" applyAlignment="1" applyProtection="1">
      <alignment horizontal="left" vertical="center" indent="1" shrinkToFit="1"/>
      <protection locked="0"/>
    </xf>
    <xf numFmtId="49" fontId="0" fillId="2" borderId="26" xfId="0" applyNumberFormat="1" applyFill="1" applyBorder="1" applyAlignment="1" applyProtection="1">
      <alignment horizontal="left" vertical="center" indent="1" shrinkToFit="1"/>
      <protection locked="0"/>
    </xf>
    <xf numFmtId="49" fontId="0" fillId="2" borderId="16" xfId="0" applyNumberFormat="1" applyFill="1" applyBorder="1" applyAlignment="1" applyProtection="1">
      <alignment horizontal="left" vertical="center" indent="1" shrinkToFit="1"/>
      <protection locked="0"/>
    </xf>
    <xf numFmtId="49" fontId="0" fillId="2" borderId="17" xfId="0" applyNumberFormat="1" applyFill="1" applyBorder="1" applyAlignment="1" applyProtection="1">
      <alignment horizontal="left" vertical="center" indent="1" shrinkToFit="1"/>
      <protection locked="0"/>
    </xf>
    <xf numFmtId="49" fontId="26" fillId="2" borderId="21" xfId="2" applyNumberFormat="1" applyFill="1" applyBorder="1" applyAlignment="1" applyProtection="1">
      <alignment horizontal="left" vertical="center" indent="1" shrinkToFit="1"/>
      <protection locked="0"/>
    </xf>
    <xf numFmtId="49" fontId="9" fillId="2" borderId="112" xfId="0" applyNumberFormat="1" applyFont="1" applyFill="1" applyBorder="1" applyAlignment="1" applyProtection="1">
      <alignment vertical="center" shrinkToFit="1"/>
      <protection locked="0"/>
    </xf>
    <xf numFmtId="49" fontId="9" fillId="2" borderId="113" xfId="0" applyNumberFormat="1" applyFont="1" applyFill="1" applyBorder="1" applyAlignment="1" applyProtection="1">
      <alignment vertical="center" shrinkToFit="1"/>
      <protection locked="0"/>
    </xf>
    <xf numFmtId="49" fontId="9" fillId="2" borderId="114" xfId="0" applyNumberFormat="1" applyFont="1" applyFill="1" applyBorder="1" applyAlignment="1" applyProtection="1">
      <alignment vertical="center" shrinkToFit="1"/>
      <protection locked="0"/>
    </xf>
    <xf numFmtId="49" fontId="9" fillId="2" borderId="70" xfId="0" applyNumberFormat="1" applyFont="1" applyFill="1" applyBorder="1" applyAlignment="1" applyProtection="1">
      <alignment vertical="center" shrinkToFit="1"/>
      <protection locked="0"/>
    </xf>
    <xf numFmtId="49" fontId="9" fillId="2" borderId="60" xfId="0" applyNumberFormat="1" applyFont="1" applyFill="1" applyBorder="1" applyAlignment="1" applyProtection="1">
      <alignment vertical="center" shrinkToFit="1"/>
      <protection locked="0"/>
    </xf>
    <xf numFmtId="49" fontId="9" fillId="2" borderId="61" xfId="0" applyNumberFormat="1" applyFont="1" applyFill="1" applyBorder="1" applyAlignment="1" applyProtection="1">
      <alignment vertical="center" shrinkToFit="1"/>
      <protection locked="0"/>
    </xf>
    <xf numFmtId="0" fontId="24" fillId="0" borderId="17" xfId="0" applyFont="1" applyBorder="1" applyAlignment="1">
      <alignment horizontal="center" vertical="center" wrapText="1"/>
    </xf>
    <xf numFmtId="0" fontId="24" fillId="0" borderId="22" xfId="0" applyFont="1" applyBorder="1" applyAlignment="1">
      <alignment horizontal="center" vertical="center"/>
    </xf>
    <xf numFmtId="0" fontId="0" fillId="0" borderId="15" xfId="0" applyBorder="1" applyAlignment="1">
      <alignment horizontal="center" vertical="center"/>
    </xf>
    <xf numFmtId="0" fontId="0" fillId="0" borderId="20" xfId="0" applyBorder="1" applyAlignment="1">
      <alignment horizontal="center" vertical="center"/>
    </xf>
    <xf numFmtId="0" fontId="0" fillId="0" borderId="39" xfId="0" applyBorder="1" applyAlignment="1">
      <alignment shrinkToFit="1"/>
    </xf>
    <xf numFmtId="0" fontId="7" fillId="0" borderId="16" xfId="0" applyFont="1" applyBorder="1" applyAlignment="1">
      <alignment horizontal="center" vertical="center" wrapText="1"/>
    </xf>
    <xf numFmtId="0" fontId="7" fillId="0" borderId="21" xfId="0" applyFont="1" applyBorder="1" applyAlignment="1">
      <alignment horizontal="center" vertical="center"/>
    </xf>
    <xf numFmtId="0" fontId="12" fillId="0" borderId="16" xfId="0" applyFont="1" applyBorder="1" applyAlignment="1">
      <alignment horizontal="center" vertical="center"/>
    </xf>
    <xf numFmtId="0" fontId="0" fillId="0" borderId="16" xfId="0" applyBorder="1" applyAlignment="1">
      <alignment horizontal="center" vertical="center" wrapText="1"/>
    </xf>
    <xf numFmtId="0" fontId="0" fillId="0" borderId="21" xfId="0" applyBorder="1" applyAlignment="1">
      <alignment horizontal="center" vertical="center"/>
    </xf>
    <xf numFmtId="0" fontId="0" fillId="0" borderId="39" xfId="0" applyBorder="1" applyAlignment="1">
      <alignment vertical="center" shrinkToFit="1"/>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51" xfId="0" applyBorder="1" applyAlignment="1">
      <alignment horizontal="center" vertical="center" wrapText="1"/>
    </xf>
    <xf numFmtId="0" fontId="0" fillId="0" borderId="108" xfId="0" applyBorder="1" applyAlignment="1">
      <alignment horizontal="center" vertical="center"/>
    </xf>
    <xf numFmtId="0" fontId="0" fillId="0" borderId="16" xfId="0" applyBorder="1" applyAlignment="1">
      <alignment horizontal="center" vertical="center"/>
    </xf>
    <xf numFmtId="0" fontId="9" fillId="0" borderId="15" xfId="0" applyFont="1" applyBorder="1" applyAlignment="1">
      <alignment horizontal="center" vertical="center"/>
    </xf>
    <xf numFmtId="0" fontId="30" fillId="0" borderId="109" xfId="0" applyFont="1" applyBorder="1" applyAlignment="1">
      <alignment horizontal="center" vertical="center" wrapText="1"/>
    </xf>
    <xf numFmtId="0" fontId="30" fillId="0" borderId="110" xfId="0" applyFont="1" applyBorder="1" applyAlignment="1">
      <alignment horizontal="center" vertical="center"/>
    </xf>
    <xf numFmtId="0" fontId="30" fillId="0" borderId="39" xfId="0" applyFont="1" applyBorder="1" applyAlignment="1">
      <alignment vertical="center" shrinkToFit="1"/>
    </xf>
    <xf numFmtId="0" fontId="30" fillId="0" borderId="39" xfId="0" applyFont="1" applyBorder="1" applyAlignment="1">
      <alignment shrinkToFit="1"/>
    </xf>
    <xf numFmtId="0" fontId="30" fillId="0" borderId="105" xfId="0" applyFont="1" applyBorder="1" applyAlignment="1">
      <alignment horizontal="center" vertical="center"/>
    </xf>
    <xf numFmtId="0" fontId="30" fillId="0" borderId="55" xfId="0" applyFont="1" applyBorder="1" applyAlignment="1">
      <alignment horizontal="center" vertical="center"/>
    </xf>
    <xf numFmtId="0" fontId="34" fillId="0" borderId="106" xfId="0" applyFont="1" applyBorder="1" applyAlignment="1">
      <alignment horizontal="center" vertical="center"/>
    </xf>
    <xf numFmtId="0" fontId="30" fillId="0" borderId="107" xfId="0" applyFont="1" applyBorder="1" applyAlignment="1">
      <alignment horizontal="center" vertical="center"/>
    </xf>
    <xf numFmtId="0" fontId="30" fillId="0" borderId="106" xfId="0" applyFont="1" applyBorder="1" applyAlignment="1">
      <alignment horizontal="center" vertical="center" wrapText="1"/>
    </xf>
    <xf numFmtId="0" fontId="30" fillId="0" borderId="106" xfId="0" applyFont="1" applyBorder="1" applyAlignment="1">
      <alignment horizontal="center" vertical="center"/>
    </xf>
    <xf numFmtId="0" fontId="30" fillId="0" borderId="51" xfId="0" applyFont="1" applyBorder="1" applyAlignment="1">
      <alignment horizontal="center" vertical="center" wrapText="1"/>
    </xf>
    <xf numFmtId="0" fontId="30" fillId="0" borderId="108" xfId="0" applyFont="1" applyBorder="1" applyAlignment="1">
      <alignment horizontal="center" vertical="center"/>
    </xf>
    <xf numFmtId="0" fontId="0" fillId="0" borderId="0" xfId="0" applyAlignment="1">
      <alignment wrapText="1"/>
    </xf>
    <xf numFmtId="0" fontId="0" fillId="0" borderId="0" xfId="0"/>
    <xf numFmtId="0" fontId="13" fillId="0" borderId="0" xfId="0" applyFont="1" applyAlignment="1">
      <alignment horizontal="justify" vertical="center"/>
    </xf>
    <xf numFmtId="0" fontId="13" fillId="0" borderId="0" xfId="0" applyFont="1"/>
    <xf numFmtId="0" fontId="13" fillId="0" borderId="0" xfId="0" applyFont="1" applyAlignment="1">
      <alignment horizontal="justify" vertical="center" wrapText="1"/>
    </xf>
    <xf numFmtId="0" fontId="24" fillId="0" borderId="0" xfId="0" applyFont="1" applyAlignment="1">
      <alignment horizontal="justify" vertical="center"/>
    </xf>
    <xf numFmtId="0" fontId="24" fillId="0" borderId="0" xfId="0" applyFont="1"/>
    <xf numFmtId="0" fontId="0" fillId="0" borderId="48" xfId="0" applyBorder="1" applyAlignment="1">
      <alignment horizontal="center"/>
    </xf>
    <xf numFmtId="0" fontId="0" fillId="0" borderId="49" xfId="0" applyBorder="1" applyAlignment="1">
      <alignment horizontal="center"/>
    </xf>
    <xf numFmtId="0" fontId="0" fillId="0" borderId="50" xfId="0" applyBorder="1" applyAlignment="1">
      <alignment horizontal="center"/>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39" xfId="0" applyBorder="1"/>
    <xf numFmtId="0" fontId="20" fillId="0" borderId="0" xfId="0" applyFont="1" applyAlignment="1">
      <alignment wrapText="1"/>
    </xf>
    <xf numFmtId="0" fontId="0" fillId="0" borderId="39" xfId="0" applyBorder="1" applyAlignment="1" applyProtection="1">
      <alignment vertical="center" shrinkToFit="1"/>
      <protection locked="0"/>
    </xf>
    <xf numFmtId="0" fontId="0" fillId="0" borderId="63" xfId="0" applyBorder="1" applyAlignment="1" applyProtection="1">
      <alignment vertical="center" shrinkToFit="1"/>
      <protection locked="0"/>
    </xf>
    <xf numFmtId="0" fontId="0" fillId="0" borderId="87" xfId="0" applyBorder="1" applyAlignment="1">
      <alignment horizontal="center" vertical="center"/>
    </xf>
    <xf numFmtId="0" fontId="0" fillId="0" borderId="58" xfId="0" applyBorder="1" applyAlignment="1">
      <alignment horizontal="center" vertical="center"/>
    </xf>
    <xf numFmtId="0" fontId="0" fillId="0" borderId="88" xfId="0" applyBorder="1" applyAlignment="1">
      <alignment horizontal="center" vertical="center"/>
    </xf>
    <xf numFmtId="0" fontId="0" fillId="0" borderId="8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8" xfId="0" applyBorder="1" applyAlignment="1" applyProtection="1">
      <alignment horizontal="center" vertical="center"/>
      <protection locked="0"/>
    </xf>
    <xf numFmtId="49" fontId="10" fillId="0" borderId="87" xfId="0" applyNumberFormat="1" applyFont="1" applyBorder="1" applyAlignment="1" applyProtection="1">
      <alignment horizontal="center" vertical="center"/>
      <protection locked="0"/>
    </xf>
    <xf numFmtId="49" fontId="0" fillId="0" borderId="58" xfId="0" applyNumberFormat="1" applyBorder="1" applyAlignment="1" applyProtection="1">
      <alignment horizontal="center" vertical="center"/>
      <protection locked="0"/>
    </xf>
    <xf numFmtId="49" fontId="0" fillId="0" borderId="88" xfId="0" applyNumberFormat="1" applyBorder="1" applyAlignment="1" applyProtection="1">
      <alignment horizontal="center" vertical="center"/>
      <protection locked="0"/>
    </xf>
    <xf numFmtId="49" fontId="0" fillId="0" borderId="87" xfId="0" applyNumberFormat="1" applyBorder="1" applyAlignment="1" applyProtection="1">
      <alignment horizontal="center" vertical="center"/>
      <protection locked="0"/>
    </xf>
    <xf numFmtId="49" fontId="0" fillId="0" borderId="81" xfId="0" applyNumberFormat="1" applyBorder="1" applyAlignment="1" applyProtection="1">
      <alignment horizontal="center" vertical="center"/>
      <protection locked="0"/>
    </xf>
    <xf numFmtId="49" fontId="0" fillId="0" borderId="82" xfId="0" applyNumberFormat="1" applyBorder="1" applyAlignment="1" applyProtection="1">
      <alignment horizontal="center" vertical="center"/>
      <protection locked="0"/>
    </xf>
    <xf numFmtId="49" fontId="0" fillId="0" borderId="83" xfId="0" applyNumberFormat="1" applyBorder="1" applyAlignment="1" applyProtection="1">
      <alignment horizontal="center" vertical="center"/>
      <protection locked="0"/>
    </xf>
    <xf numFmtId="49" fontId="0" fillId="0" borderId="84" xfId="0" applyNumberFormat="1" applyBorder="1" applyAlignment="1" applyProtection="1">
      <alignment horizontal="center" vertical="center"/>
      <protection locked="0"/>
    </xf>
    <xf numFmtId="49" fontId="0" fillId="0" borderId="85" xfId="0" applyNumberFormat="1" applyBorder="1" applyAlignment="1" applyProtection="1">
      <alignment horizontal="center" vertical="center"/>
      <protection locked="0"/>
    </xf>
    <xf numFmtId="49" fontId="0" fillId="0" borderId="86" xfId="0" applyNumberFormat="1" applyBorder="1" applyAlignment="1" applyProtection="1">
      <alignment horizontal="center" vertical="center"/>
      <protection locked="0"/>
    </xf>
    <xf numFmtId="49" fontId="0" fillId="0" borderId="87" xfId="0" applyNumberFormat="1" applyBorder="1" applyAlignment="1" applyProtection="1">
      <alignment horizontal="center" vertical="center" wrapText="1"/>
      <protection locked="0"/>
    </xf>
    <xf numFmtId="49" fontId="0" fillId="0" borderId="58" xfId="0" applyNumberFormat="1" applyBorder="1" applyAlignment="1" applyProtection="1">
      <alignment horizontal="center" vertical="center" wrapText="1"/>
      <protection locked="0"/>
    </xf>
    <xf numFmtId="49" fontId="0" fillId="0" borderId="88" xfId="0" applyNumberFormat="1" applyBorder="1" applyAlignment="1" applyProtection="1">
      <alignment horizontal="center" vertical="center" wrapText="1"/>
      <protection locked="0"/>
    </xf>
    <xf numFmtId="49" fontId="25" fillId="0" borderId="95" xfId="0" applyNumberFormat="1" applyFont="1" applyBorder="1" applyAlignment="1" applyProtection="1">
      <alignment horizontal="left" vertical="center" shrinkToFit="1"/>
      <protection locked="0"/>
    </xf>
    <xf numFmtId="49" fontId="25" fillId="0" borderId="69" xfId="0" applyNumberFormat="1" applyFont="1" applyBorder="1" applyAlignment="1" applyProtection="1">
      <alignment horizontal="left" vertical="center" shrinkToFit="1"/>
      <protection locked="0"/>
    </xf>
    <xf numFmtId="49" fontId="25" fillId="0" borderId="96" xfId="0" applyNumberFormat="1" applyFont="1" applyBorder="1" applyAlignment="1" applyProtection="1">
      <alignment horizontal="left" vertical="center" shrinkToFit="1"/>
      <protection locked="0"/>
    </xf>
    <xf numFmtId="49" fontId="25" fillId="0" borderId="59" xfId="0" applyNumberFormat="1" applyFont="1" applyBorder="1" applyAlignment="1" applyProtection="1">
      <alignment horizontal="left" vertical="center" shrinkToFit="1"/>
      <protection locked="0"/>
    </xf>
    <xf numFmtId="49" fontId="25" fillId="0" borderId="60" xfId="0" applyNumberFormat="1" applyFont="1" applyBorder="1" applyAlignment="1" applyProtection="1">
      <alignment horizontal="left" vertical="center" shrinkToFit="1"/>
      <protection locked="0"/>
    </xf>
    <xf numFmtId="49" fontId="25" fillId="0" borderId="97" xfId="0" applyNumberFormat="1" applyFont="1" applyBorder="1" applyAlignment="1" applyProtection="1">
      <alignment horizontal="left" vertical="center" shrinkToFit="1"/>
      <protection locked="0"/>
    </xf>
    <xf numFmtId="49" fontId="25" fillId="0" borderId="98" xfId="0" applyNumberFormat="1" applyFont="1" applyBorder="1" applyAlignment="1" applyProtection="1">
      <alignment horizontal="left" vertical="center" shrinkToFit="1"/>
      <protection locked="0"/>
    </xf>
    <xf numFmtId="49" fontId="25" fillId="0" borderId="99" xfId="0" applyNumberFormat="1" applyFont="1" applyBorder="1" applyAlignment="1" applyProtection="1">
      <alignment horizontal="left" vertical="center" shrinkToFit="1"/>
      <protection locked="0"/>
    </xf>
    <xf numFmtId="49" fontId="25" fillId="0" borderId="100" xfId="0" applyNumberFormat="1" applyFont="1" applyBorder="1" applyAlignment="1" applyProtection="1">
      <alignment horizontal="left" vertical="center" shrinkToFit="1"/>
      <protection locked="0"/>
    </xf>
    <xf numFmtId="0" fontId="11" fillId="0" borderId="39" xfId="0" applyFont="1" applyBorder="1" applyAlignment="1">
      <alignment horizontal="center" vertical="center"/>
    </xf>
    <xf numFmtId="0" fontId="16" fillId="0" borderId="39" xfId="0" applyFont="1" applyBorder="1"/>
    <xf numFmtId="0" fontId="0" fillId="0" borderId="62" xfId="0" applyBorder="1" applyAlignment="1">
      <alignment horizontal="center" vertical="center"/>
    </xf>
    <xf numFmtId="0" fontId="0" fillId="0" borderId="65" xfId="0" applyBorder="1" applyAlignment="1">
      <alignment horizontal="center" vertical="center"/>
    </xf>
    <xf numFmtId="0" fontId="0" fillId="0" borderId="63" xfId="0" applyBorder="1" applyAlignment="1">
      <alignment horizontal="center" vertical="center"/>
    </xf>
    <xf numFmtId="0" fontId="10" fillId="0" borderId="0" xfId="0" applyFont="1" applyAlignment="1">
      <alignment horizontal="distributed" vertical="center"/>
    </xf>
    <xf numFmtId="0" fontId="0" fillId="0" borderId="0" xfId="0" applyAlignment="1">
      <alignment horizontal="distributed" vertical="center"/>
    </xf>
    <xf numFmtId="0" fontId="6" fillId="0" borderId="0" xfId="0" applyFont="1" applyAlignment="1">
      <alignment vertical="center" wrapText="1"/>
    </xf>
    <xf numFmtId="0" fontId="19" fillId="0" borderId="0" xfId="0" applyFont="1" applyAlignment="1">
      <alignment horizontal="left" vertical="center" wrapText="1"/>
    </xf>
    <xf numFmtId="0" fontId="0" fillId="0" borderId="39" xfId="0" applyBorder="1" applyAlignment="1" applyProtection="1">
      <alignment vertical="center"/>
      <protection locked="0"/>
    </xf>
    <xf numFmtId="0" fontId="0" fillId="0" borderId="63" xfId="0" applyBorder="1" applyAlignment="1" applyProtection="1">
      <alignment vertical="center"/>
      <protection locked="0"/>
    </xf>
    <xf numFmtId="0" fontId="0" fillId="0" borderId="39" xfId="0" applyBorder="1" applyAlignment="1">
      <alignment vertical="center"/>
    </xf>
    <xf numFmtId="0" fontId="19" fillId="0" borderId="62" xfId="0" applyFont="1"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19" fillId="0" borderId="62" xfId="0" applyFont="1" applyBorder="1" applyAlignment="1">
      <alignment horizontal="left" vertical="center" wrapText="1"/>
    </xf>
    <xf numFmtId="0" fontId="0" fillId="0" borderId="65" xfId="0" applyBorder="1" applyAlignment="1">
      <alignment horizontal="left" vertical="center" wrapText="1"/>
    </xf>
    <xf numFmtId="0" fontId="0" fillId="0" borderId="62" xfId="0" applyBorder="1" applyAlignment="1" applyProtection="1">
      <alignment horizontal="left" vertical="center" wrapText="1"/>
      <protection locked="0"/>
    </xf>
    <xf numFmtId="0" fontId="13" fillId="0" borderId="62" xfId="0" applyFont="1" applyBorder="1" applyAlignment="1">
      <alignment horizontal="center" vertical="center" wrapText="1"/>
    </xf>
    <xf numFmtId="0" fontId="0" fillId="0" borderId="65" xfId="0" applyBorder="1" applyAlignment="1">
      <alignment horizontal="center" vertical="center" wrapText="1"/>
    </xf>
    <xf numFmtId="0" fontId="0" fillId="0" borderId="63" xfId="0" applyBorder="1" applyAlignment="1">
      <alignment horizontal="center" vertical="center" wrapText="1"/>
    </xf>
    <xf numFmtId="0" fontId="0" fillId="0" borderId="68" xfId="0" applyBorder="1" applyAlignment="1">
      <alignment horizontal="center" vertical="center"/>
    </xf>
    <xf numFmtId="0" fontId="0" fillId="0" borderId="66" xfId="0" applyBorder="1" applyAlignment="1">
      <alignment horizontal="center" vertical="center"/>
    </xf>
    <xf numFmtId="0" fontId="0" fillId="2" borderId="9" xfId="0" applyFill="1" applyBorder="1" applyAlignment="1" applyProtection="1">
      <alignment horizontal="center" vertical="center" wrapText="1"/>
      <protection locked="0"/>
    </xf>
    <xf numFmtId="0" fontId="0" fillId="2" borderId="67" xfId="0" applyFill="1" applyBorder="1" applyAlignment="1" applyProtection="1">
      <alignment horizontal="center" vertical="center" wrapText="1"/>
      <protection locked="0"/>
    </xf>
    <xf numFmtId="0" fontId="0" fillId="2" borderId="7" xfId="0" applyFill="1" applyBorder="1" applyAlignment="1" applyProtection="1">
      <alignment horizontal="center" vertical="center" wrapText="1"/>
      <protection locked="0"/>
    </xf>
    <xf numFmtId="0" fontId="0" fillId="0" borderId="6" xfId="0" applyBorder="1" applyAlignment="1">
      <alignment horizontal="center" vertical="center"/>
    </xf>
    <xf numFmtId="0" fontId="0" fillId="0" borderId="74" xfId="0" applyBorder="1" applyAlignment="1">
      <alignment horizontal="center" vertical="center" shrinkToFit="1"/>
    </xf>
    <xf numFmtId="0" fontId="0" fillId="0" borderId="75" xfId="0" applyBorder="1" applyAlignment="1">
      <alignment horizontal="center" vertical="center" shrinkToFit="1"/>
    </xf>
    <xf numFmtId="0" fontId="0" fillId="0" borderId="77" xfId="0" applyBorder="1" applyAlignment="1">
      <alignment horizontal="center" vertical="center" shrinkToFit="1"/>
    </xf>
    <xf numFmtId="0" fontId="11" fillId="0" borderId="0" xfId="0" applyFont="1" applyAlignment="1">
      <alignment horizontal="center" vertical="center"/>
    </xf>
    <xf numFmtId="0" fontId="0" fillId="0" borderId="0" xfId="0" applyAlignment="1">
      <alignment horizontal="center" vertical="center"/>
    </xf>
    <xf numFmtId="0" fontId="0" fillId="0" borderId="53" xfId="0" applyBorder="1" applyAlignment="1">
      <alignment vertical="center"/>
    </xf>
    <xf numFmtId="0" fontId="0" fillId="0" borderId="7" xfId="0" applyBorder="1" applyAlignment="1">
      <alignment vertical="center"/>
    </xf>
    <xf numFmtId="0" fontId="0" fillId="0" borderId="12" xfId="0" applyBorder="1" applyAlignment="1">
      <alignment vertical="center"/>
    </xf>
    <xf numFmtId="0" fontId="0" fillId="0" borderId="6" xfId="0" applyBorder="1" applyAlignment="1">
      <alignment vertical="center"/>
    </xf>
    <xf numFmtId="0" fontId="0" fillId="0" borderId="2" xfId="0" applyBorder="1" applyAlignment="1">
      <alignment horizontal="center" vertical="center"/>
    </xf>
    <xf numFmtId="0" fontId="0" fillId="0" borderId="53" xfId="0" applyBorder="1" applyAlignment="1">
      <alignment horizontal="center" vertical="center"/>
    </xf>
    <xf numFmtId="0" fontId="0" fillId="0" borderId="7" xfId="0" applyBorder="1" applyAlignment="1">
      <alignment horizontal="center" vertical="center"/>
    </xf>
    <xf numFmtId="0" fontId="24" fillId="0" borderId="0" xfId="0" applyFont="1" applyAlignment="1">
      <alignment horizontal="center" vertical="center"/>
    </xf>
    <xf numFmtId="0" fontId="0" fillId="0" borderId="14" xfId="0" applyBorder="1" applyAlignment="1">
      <alignment vertical="center" wrapText="1"/>
    </xf>
    <xf numFmtId="0" fontId="0" fillId="0" borderId="14" xfId="0" applyBorder="1" applyAlignment="1">
      <alignment vertical="center"/>
    </xf>
    <xf numFmtId="0" fontId="0" fillId="0" borderId="9" xfId="0" applyBorder="1" applyAlignment="1">
      <alignment vertical="center"/>
    </xf>
    <xf numFmtId="0" fontId="6" fillId="0" borderId="53" xfId="0" applyFont="1" applyBorder="1" applyAlignment="1">
      <alignment horizontal="center" vertical="center" wrapText="1"/>
    </xf>
    <xf numFmtId="0" fontId="7" fillId="0" borderId="7" xfId="0" applyFont="1" applyBorder="1" applyAlignment="1">
      <alignment horizontal="center" vertical="center"/>
    </xf>
    <xf numFmtId="0" fontId="0" fillId="0" borderId="3" xfId="0" applyBorder="1" applyAlignment="1">
      <alignment vertical="center"/>
    </xf>
    <xf numFmtId="0" fontId="0" fillId="0" borderId="54" xfId="0" applyBorder="1" applyAlignment="1">
      <alignment vertical="center"/>
    </xf>
    <xf numFmtId="0" fontId="0" fillId="0" borderId="8" xfId="0" applyBorder="1" applyAlignment="1">
      <alignment vertical="center"/>
    </xf>
    <xf numFmtId="0" fontId="0" fillId="0" borderId="53" xfId="0" applyBorder="1" applyAlignment="1">
      <alignment vertical="center" wrapText="1"/>
    </xf>
    <xf numFmtId="0" fontId="0" fillId="0" borderId="101" xfId="0" applyBorder="1" applyAlignment="1">
      <alignment horizontal="center" vertical="center" shrinkToFit="1"/>
    </xf>
    <xf numFmtId="0" fontId="0" fillId="0" borderId="67" xfId="0" applyBorder="1" applyAlignment="1">
      <alignment vertical="center"/>
    </xf>
    <xf numFmtId="0" fontId="0" fillId="0" borderId="4" xfId="0" applyBorder="1" applyAlignment="1">
      <alignment vertical="center"/>
    </xf>
  </cellXfs>
  <cellStyles count="4">
    <cellStyle name="ハイパーリンク" xfId="2" builtinId="8"/>
    <cellStyle name="標準" xfId="0" builtinId="0"/>
    <cellStyle name="標準 2" xfId="1"/>
    <cellStyle name="標準 3" xfId="3"/>
  </cellStyles>
  <dxfs count="143">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12</xdr:col>
      <xdr:colOff>280987</xdr:colOff>
      <xdr:row>4</xdr:row>
      <xdr:rowOff>38100</xdr:rowOff>
    </xdr:from>
    <xdr:to>
      <xdr:col>15</xdr:col>
      <xdr:colOff>585787</xdr:colOff>
      <xdr:row>5</xdr:row>
      <xdr:rowOff>180975</xdr:rowOff>
    </xdr:to>
    <xdr:sp macro="" textlink="">
      <xdr:nvSpPr>
        <xdr:cNvPr id="2" name="四角形: 角を丸くする 1">
          <a:extLst>
            <a:ext uri="{FF2B5EF4-FFF2-40B4-BE49-F238E27FC236}">
              <a16:creationId xmlns:a16="http://schemas.microsoft.com/office/drawing/2014/main" id="{30A79566-1BCD-493D-948B-BBF040CFC7F3}"/>
            </a:ext>
          </a:extLst>
        </xdr:cNvPr>
        <xdr:cNvSpPr/>
      </xdr:nvSpPr>
      <xdr:spPr>
        <a:xfrm>
          <a:off x="8634412" y="847725"/>
          <a:ext cx="2971800" cy="381000"/>
        </a:xfrm>
        <a:prstGeom prst="roundRect">
          <a:avLst/>
        </a:prstGeom>
        <a:solidFill>
          <a:srgbClr val="0000FF"/>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0" tIns="0" rIns="0" bIns="0" rtlCol="0" anchor="ctr"/>
        <a:lstStyle/>
        <a:p>
          <a:pPr algn="ctr"/>
          <a:r>
            <a:rPr kumimoji="1" lang="ja-JP" altLang="en-US" sz="1400" b="1"/>
            <a:t>「団体登録」シートを記入</a:t>
          </a:r>
        </a:p>
      </xdr:txBody>
    </xdr:sp>
    <xdr:clientData/>
  </xdr:twoCellAnchor>
  <xdr:twoCellAnchor>
    <xdr:from>
      <xdr:col>12</xdr:col>
      <xdr:colOff>280987</xdr:colOff>
      <xdr:row>7</xdr:row>
      <xdr:rowOff>71752</xdr:rowOff>
    </xdr:from>
    <xdr:to>
      <xdr:col>15</xdr:col>
      <xdr:colOff>585787</xdr:colOff>
      <xdr:row>8</xdr:row>
      <xdr:rowOff>205102</xdr:rowOff>
    </xdr:to>
    <xdr:sp macro="" textlink="">
      <xdr:nvSpPr>
        <xdr:cNvPr id="3" name="四角形: 角を丸くする 2">
          <a:extLst>
            <a:ext uri="{FF2B5EF4-FFF2-40B4-BE49-F238E27FC236}">
              <a16:creationId xmlns:a16="http://schemas.microsoft.com/office/drawing/2014/main" id="{BABE15DF-2B03-43F8-8CE2-572D32F294A3}"/>
            </a:ext>
          </a:extLst>
        </xdr:cNvPr>
        <xdr:cNvSpPr/>
      </xdr:nvSpPr>
      <xdr:spPr>
        <a:xfrm>
          <a:off x="8634412" y="1595752"/>
          <a:ext cx="2971800" cy="381000"/>
        </a:xfrm>
        <a:prstGeom prst="roundRect">
          <a:avLst/>
        </a:prstGeom>
        <a:solidFill>
          <a:srgbClr val="0000FF"/>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0" tIns="0" rIns="0" bIns="0" rtlCol="0" anchor="ctr"/>
        <a:lstStyle/>
        <a:p>
          <a:pPr algn="ctr"/>
          <a:r>
            <a:rPr kumimoji="1" lang="ja-JP" altLang="en-US" sz="1400" b="1"/>
            <a:t>「選手登録」シートを記入</a:t>
          </a:r>
        </a:p>
      </xdr:txBody>
    </xdr:sp>
    <xdr:clientData/>
  </xdr:twoCellAnchor>
  <xdr:twoCellAnchor>
    <xdr:from>
      <xdr:col>12</xdr:col>
      <xdr:colOff>280987</xdr:colOff>
      <xdr:row>10</xdr:row>
      <xdr:rowOff>124454</xdr:rowOff>
    </xdr:from>
    <xdr:to>
      <xdr:col>15</xdr:col>
      <xdr:colOff>585787</xdr:colOff>
      <xdr:row>12</xdr:row>
      <xdr:rowOff>29204</xdr:rowOff>
    </xdr:to>
    <xdr:sp macro="" textlink="">
      <xdr:nvSpPr>
        <xdr:cNvPr id="4" name="四角形: 角を丸くする 3">
          <a:extLst>
            <a:ext uri="{FF2B5EF4-FFF2-40B4-BE49-F238E27FC236}">
              <a16:creationId xmlns:a16="http://schemas.microsoft.com/office/drawing/2014/main" id="{E1DDF654-D82C-427F-9FAE-28AE1B443F49}"/>
            </a:ext>
          </a:extLst>
        </xdr:cNvPr>
        <xdr:cNvSpPr/>
      </xdr:nvSpPr>
      <xdr:spPr>
        <a:xfrm>
          <a:off x="8634412" y="2381879"/>
          <a:ext cx="2971800" cy="381000"/>
        </a:xfrm>
        <a:prstGeom prst="roundRect">
          <a:avLst/>
        </a:prstGeom>
        <a:solidFill>
          <a:srgbClr val="0000FF"/>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0" tIns="0" rIns="0" bIns="0" rtlCol="0" anchor="ctr"/>
        <a:lstStyle/>
        <a:p>
          <a:pPr algn="ctr"/>
          <a:r>
            <a:rPr kumimoji="1" lang="ja-JP" altLang="en-US" sz="1400" b="1"/>
            <a:t>「馬匹登録」シートを記入</a:t>
          </a:r>
        </a:p>
      </xdr:txBody>
    </xdr:sp>
    <xdr:clientData/>
  </xdr:twoCellAnchor>
  <xdr:twoCellAnchor>
    <xdr:from>
      <xdr:col>12</xdr:col>
      <xdr:colOff>280987</xdr:colOff>
      <xdr:row>13</xdr:row>
      <xdr:rowOff>167631</xdr:rowOff>
    </xdr:from>
    <xdr:to>
      <xdr:col>15</xdr:col>
      <xdr:colOff>585787</xdr:colOff>
      <xdr:row>15</xdr:row>
      <xdr:rowOff>53331</xdr:rowOff>
    </xdr:to>
    <xdr:sp macro="" textlink="">
      <xdr:nvSpPr>
        <xdr:cNvPr id="5" name="四角形: 角を丸くする 4">
          <a:extLst>
            <a:ext uri="{FF2B5EF4-FFF2-40B4-BE49-F238E27FC236}">
              <a16:creationId xmlns:a16="http://schemas.microsoft.com/office/drawing/2014/main" id="{80F1C915-DC3B-4846-A282-6A89B1AFE05E}"/>
            </a:ext>
          </a:extLst>
        </xdr:cNvPr>
        <xdr:cNvSpPr/>
      </xdr:nvSpPr>
      <xdr:spPr>
        <a:xfrm>
          <a:off x="8634412" y="3139431"/>
          <a:ext cx="2971800" cy="381000"/>
        </a:xfrm>
        <a:prstGeom prst="roundRect">
          <a:avLst/>
        </a:prstGeom>
        <a:solidFill>
          <a:schemeClr val="accent6">
            <a:lumMod val="75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0" tIns="0" rIns="0" bIns="0" rtlCol="0" anchor="ctr"/>
        <a:lstStyle/>
        <a:p>
          <a:pPr algn="ctr"/>
          <a:r>
            <a:rPr kumimoji="1" lang="ja-JP" altLang="en-US" sz="1400" b="1"/>
            <a:t>「エントリー」シートを記入</a:t>
          </a:r>
        </a:p>
      </xdr:txBody>
    </xdr:sp>
    <xdr:clientData/>
  </xdr:twoCellAnchor>
  <xdr:twoCellAnchor>
    <xdr:from>
      <xdr:col>12</xdr:col>
      <xdr:colOff>280987</xdr:colOff>
      <xdr:row>17</xdr:row>
      <xdr:rowOff>106033</xdr:rowOff>
    </xdr:from>
    <xdr:to>
      <xdr:col>15</xdr:col>
      <xdr:colOff>585787</xdr:colOff>
      <xdr:row>19</xdr:row>
      <xdr:rowOff>10783</xdr:rowOff>
    </xdr:to>
    <xdr:sp macro="" textlink="">
      <xdr:nvSpPr>
        <xdr:cNvPr id="6" name="四角形: 角を丸くする 5">
          <a:extLst>
            <a:ext uri="{FF2B5EF4-FFF2-40B4-BE49-F238E27FC236}">
              <a16:creationId xmlns:a16="http://schemas.microsoft.com/office/drawing/2014/main" id="{4D09133E-F62C-4FC7-A355-5C3D5D4C3CA1}"/>
            </a:ext>
          </a:extLst>
        </xdr:cNvPr>
        <xdr:cNvSpPr/>
      </xdr:nvSpPr>
      <xdr:spPr>
        <a:xfrm>
          <a:off x="8634412" y="4049383"/>
          <a:ext cx="2971800" cy="381000"/>
        </a:xfrm>
        <a:prstGeom prst="roundRect">
          <a:avLst/>
        </a:prstGeom>
        <a:solidFill>
          <a:schemeClr val="accent6">
            <a:lumMod val="75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0" tIns="0" rIns="0" bIns="0" rtlCol="0" anchor="ctr"/>
        <a:lstStyle/>
        <a:p>
          <a:pPr algn="ctr"/>
          <a:r>
            <a:rPr kumimoji="1" lang="ja-JP" altLang="en-US" sz="1400" b="1"/>
            <a:t>「入厩届」シートを記入</a:t>
          </a:r>
        </a:p>
      </xdr:txBody>
    </xdr:sp>
    <xdr:clientData/>
  </xdr:twoCellAnchor>
  <xdr:twoCellAnchor>
    <xdr:from>
      <xdr:col>13</xdr:col>
      <xdr:colOff>114300</xdr:colOff>
      <xdr:row>5</xdr:row>
      <xdr:rowOff>207325</xdr:rowOff>
    </xdr:from>
    <xdr:to>
      <xdr:col>14</xdr:col>
      <xdr:colOff>142875</xdr:colOff>
      <xdr:row>7</xdr:row>
      <xdr:rowOff>80886</xdr:rowOff>
    </xdr:to>
    <xdr:sp macro="" textlink="">
      <xdr:nvSpPr>
        <xdr:cNvPr id="7" name="矢印: 下 6">
          <a:extLst>
            <a:ext uri="{FF2B5EF4-FFF2-40B4-BE49-F238E27FC236}">
              <a16:creationId xmlns:a16="http://schemas.microsoft.com/office/drawing/2014/main" id="{0802EEE9-7404-4961-AB2E-0A52384CCC20}"/>
            </a:ext>
          </a:extLst>
        </xdr:cNvPr>
        <xdr:cNvSpPr/>
      </xdr:nvSpPr>
      <xdr:spPr>
        <a:xfrm>
          <a:off x="9763125" y="1255075"/>
          <a:ext cx="714375" cy="349811"/>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114300</xdr:colOff>
      <xdr:row>9</xdr:row>
      <xdr:rowOff>2853</xdr:rowOff>
    </xdr:from>
    <xdr:to>
      <xdr:col>14</xdr:col>
      <xdr:colOff>142875</xdr:colOff>
      <xdr:row>10</xdr:row>
      <xdr:rowOff>120216</xdr:rowOff>
    </xdr:to>
    <xdr:sp macro="" textlink="">
      <xdr:nvSpPr>
        <xdr:cNvPr id="8" name="矢印: 下 7">
          <a:extLst>
            <a:ext uri="{FF2B5EF4-FFF2-40B4-BE49-F238E27FC236}">
              <a16:creationId xmlns:a16="http://schemas.microsoft.com/office/drawing/2014/main" id="{B71EBB75-9DA6-45A9-B42C-030FCFB8D61F}"/>
            </a:ext>
          </a:extLst>
        </xdr:cNvPr>
        <xdr:cNvSpPr/>
      </xdr:nvSpPr>
      <xdr:spPr>
        <a:xfrm>
          <a:off x="9763125" y="2022153"/>
          <a:ext cx="714375" cy="355488"/>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114300</xdr:colOff>
      <xdr:row>12</xdr:row>
      <xdr:rowOff>55555</xdr:rowOff>
    </xdr:from>
    <xdr:to>
      <xdr:col>14</xdr:col>
      <xdr:colOff>142875</xdr:colOff>
      <xdr:row>13</xdr:row>
      <xdr:rowOff>158106</xdr:rowOff>
    </xdr:to>
    <xdr:sp macro="" textlink="">
      <xdr:nvSpPr>
        <xdr:cNvPr id="9" name="矢印: 下 8">
          <a:extLst>
            <a:ext uri="{FF2B5EF4-FFF2-40B4-BE49-F238E27FC236}">
              <a16:creationId xmlns:a16="http://schemas.microsoft.com/office/drawing/2014/main" id="{402643EC-8085-4064-954C-345D0608AF49}"/>
            </a:ext>
          </a:extLst>
        </xdr:cNvPr>
        <xdr:cNvSpPr/>
      </xdr:nvSpPr>
      <xdr:spPr>
        <a:xfrm>
          <a:off x="9763125" y="2789230"/>
          <a:ext cx="714375" cy="340676"/>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114300</xdr:colOff>
      <xdr:row>15</xdr:row>
      <xdr:rowOff>79682</xdr:rowOff>
    </xdr:from>
    <xdr:to>
      <xdr:col>14</xdr:col>
      <xdr:colOff>142875</xdr:colOff>
      <xdr:row>17</xdr:row>
      <xdr:rowOff>48883</xdr:rowOff>
    </xdr:to>
    <xdr:sp macro="" textlink="">
      <xdr:nvSpPr>
        <xdr:cNvPr id="10" name="矢印: 下 9">
          <a:extLst>
            <a:ext uri="{FF2B5EF4-FFF2-40B4-BE49-F238E27FC236}">
              <a16:creationId xmlns:a16="http://schemas.microsoft.com/office/drawing/2014/main" id="{47815465-6885-4DDA-B8E5-580FEC7E02E2}"/>
            </a:ext>
          </a:extLst>
        </xdr:cNvPr>
        <xdr:cNvSpPr/>
      </xdr:nvSpPr>
      <xdr:spPr>
        <a:xfrm>
          <a:off x="9763125" y="3546782"/>
          <a:ext cx="714375" cy="445451"/>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280987</xdr:colOff>
      <xdr:row>20</xdr:row>
      <xdr:rowOff>196835</xdr:rowOff>
    </xdr:from>
    <xdr:ext cx="2971800" cy="664863"/>
    <xdr:sp macro="" textlink="">
      <xdr:nvSpPr>
        <xdr:cNvPr id="17" name="四角形: 角を丸くする 16">
          <a:extLst>
            <a:ext uri="{FF2B5EF4-FFF2-40B4-BE49-F238E27FC236}">
              <a16:creationId xmlns:a16="http://schemas.microsoft.com/office/drawing/2014/main" id="{D5C7F02A-0E50-49A7-9862-D4B2FBE2B49C}"/>
            </a:ext>
          </a:extLst>
        </xdr:cNvPr>
        <xdr:cNvSpPr/>
      </xdr:nvSpPr>
      <xdr:spPr>
        <a:xfrm>
          <a:off x="8634412" y="4854560"/>
          <a:ext cx="2971800" cy="664863"/>
        </a:xfrm>
        <a:prstGeom prst="roundRect">
          <a:avLst/>
        </a:prstGeom>
        <a:solidFill>
          <a:srgbClr val="0000FF"/>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spAutoFit/>
        </a:bodyPr>
        <a:lstStyle/>
        <a:p>
          <a:pPr algn="ctr"/>
          <a:r>
            <a:rPr kumimoji="1" lang="ja-JP" altLang="en-US" sz="1400" b="1"/>
            <a:t>「団体登録」シートで合計金額を確認、指定口座へ振込み</a:t>
          </a:r>
        </a:p>
      </xdr:txBody>
    </xdr:sp>
    <xdr:clientData/>
  </xdr:oneCellAnchor>
  <xdr:twoCellAnchor>
    <xdr:from>
      <xdr:col>13</xdr:col>
      <xdr:colOff>114300</xdr:colOff>
      <xdr:row>19</xdr:row>
      <xdr:rowOff>46659</xdr:rowOff>
    </xdr:from>
    <xdr:to>
      <xdr:col>14</xdr:col>
      <xdr:colOff>142875</xdr:colOff>
      <xdr:row>20</xdr:row>
      <xdr:rowOff>149210</xdr:rowOff>
    </xdr:to>
    <xdr:sp macro="" textlink="">
      <xdr:nvSpPr>
        <xdr:cNvPr id="18" name="矢印: 下 17">
          <a:extLst>
            <a:ext uri="{FF2B5EF4-FFF2-40B4-BE49-F238E27FC236}">
              <a16:creationId xmlns:a16="http://schemas.microsoft.com/office/drawing/2014/main" id="{A4A5501E-EDF7-4058-BDC1-BEED056DCA9F}"/>
            </a:ext>
          </a:extLst>
        </xdr:cNvPr>
        <xdr:cNvSpPr/>
      </xdr:nvSpPr>
      <xdr:spPr>
        <a:xfrm>
          <a:off x="9763125" y="4466259"/>
          <a:ext cx="714375" cy="340676"/>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309562</xdr:colOff>
      <xdr:row>31</xdr:row>
      <xdr:rowOff>66675</xdr:rowOff>
    </xdr:from>
    <xdr:ext cx="2971800" cy="1066800"/>
    <xdr:sp macro="" textlink="">
      <xdr:nvSpPr>
        <xdr:cNvPr id="19" name="四角形: 角を丸くする 18">
          <a:extLst>
            <a:ext uri="{FF2B5EF4-FFF2-40B4-BE49-F238E27FC236}">
              <a16:creationId xmlns:a16="http://schemas.microsoft.com/office/drawing/2014/main" id="{A3551781-DB04-402A-BB1B-A6312C328D69}"/>
            </a:ext>
          </a:extLst>
        </xdr:cNvPr>
        <xdr:cNvSpPr/>
      </xdr:nvSpPr>
      <xdr:spPr>
        <a:xfrm>
          <a:off x="8662987" y="7105650"/>
          <a:ext cx="2971800" cy="1066800"/>
        </a:xfrm>
        <a:prstGeom prst="roundRect">
          <a:avLst/>
        </a:prstGeom>
        <a:noFill/>
        <a:ln w="38100">
          <a:solidFill>
            <a:srgbClr val="FF00FF"/>
          </a:solid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lIns="0" tIns="0" rIns="0" bIns="0" rtlCol="0" anchor="ctr">
          <a:noAutofit/>
        </a:bodyPr>
        <a:lstStyle/>
        <a:p>
          <a:pPr algn="ctr"/>
          <a:r>
            <a:rPr kumimoji="1" lang="ja-JP" altLang="en-US" sz="1800" b="1">
              <a:solidFill>
                <a:srgbClr val="002060"/>
              </a:solidFill>
            </a:rPr>
            <a:t>社馬連へ</a:t>
          </a:r>
          <a:endParaRPr kumimoji="1" lang="en-US" altLang="ja-JP" sz="1600" b="1">
            <a:solidFill>
              <a:srgbClr val="002060"/>
            </a:solidFill>
          </a:endParaRPr>
        </a:p>
        <a:p>
          <a:pPr algn="ctr"/>
          <a:r>
            <a:rPr kumimoji="1" lang="ja-JP" altLang="en-US" sz="1800" b="1">
              <a:solidFill>
                <a:srgbClr val="002060"/>
              </a:solidFill>
            </a:rPr>
            <a:t>エントリーシートを送付</a:t>
          </a:r>
        </a:p>
      </xdr:txBody>
    </xdr:sp>
    <xdr:clientData/>
  </xdr:oneCellAnchor>
  <xdr:twoCellAnchor>
    <xdr:from>
      <xdr:col>13</xdr:col>
      <xdr:colOff>114300</xdr:colOff>
      <xdr:row>24</xdr:row>
      <xdr:rowOff>183199</xdr:rowOff>
    </xdr:from>
    <xdr:to>
      <xdr:col>14</xdr:col>
      <xdr:colOff>142875</xdr:colOff>
      <xdr:row>26</xdr:row>
      <xdr:rowOff>28575</xdr:rowOff>
    </xdr:to>
    <xdr:sp macro="" textlink="">
      <xdr:nvSpPr>
        <xdr:cNvPr id="20" name="矢印: 下 19">
          <a:extLst>
            <a:ext uri="{FF2B5EF4-FFF2-40B4-BE49-F238E27FC236}">
              <a16:creationId xmlns:a16="http://schemas.microsoft.com/office/drawing/2014/main" id="{4E99F359-6C91-4B8D-AE1F-A065AC6F8741}"/>
            </a:ext>
          </a:extLst>
        </xdr:cNvPr>
        <xdr:cNvSpPr/>
      </xdr:nvSpPr>
      <xdr:spPr>
        <a:xfrm>
          <a:off x="9763125" y="5555299"/>
          <a:ext cx="714375" cy="321626"/>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247649</xdr:colOff>
      <xdr:row>18</xdr:row>
      <xdr:rowOff>85724</xdr:rowOff>
    </xdr:from>
    <xdr:to>
      <xdr:col>19</xdr:col>
      <xdr:colOff>552450</xdr:colOff>
      <xdr:row>23</xdr:row>
      <xdr:rowOff>19049</xdr:rowOff>
    </xdr:to>
    <xdr:sp macro="" textlink="">
      <xdr:nvSpPr>
        <xdr:cNvPr id="21" name="吹き出し: 角を丸めた四角形 20">
          <a:extLst>
            <a:ext uri="{FF2B5EF4-FFF2-40B4-BE49-F238E27FC236}">
              <a16:creationId xmlns:a16="http://schemas.microsoft.com/office/drawing/2014/main" id="{5DBC2FDA-AC45-41B5-B8F3-7A09CC37AE5A}"/>
            </a:ext>
          </a:extLst>
        </xdr:cNvPr>
        <xdr:cNvSpPr/>
      </xdr:nvSpPr>
      <xdr:spPr>
        <a:xfrm>
          <a:off x="11382374" y="4267199"/>
          <a:ext cx="2362201" cy="885825"/>
        </a:xfrm>
        <a:prstGeom prst="wedgeRoundRectCallout">
          <a:avLst>
            <a:gd name="adj1" fmla="val -62743"/>
            <a:gd name="adj2" fmla="val -42338"/>
            <a:gd name="adj3" fmla="val 16667"/>
          </a:avLst>
        </a:prstGeom>
        <a:solidFill>
          <a:schemeClr val="accent2">
            <a:lumMod val="20000"/>
            <a:lumOff val="80000"/>
          </a:schemeClr>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a:solidFill>
                <a:srgbClr val="0000FF"/>
              </a:solidFill>
            </a:rPr>
            <a:t>必要に応じて「馬管理者棟」シートを記入し、ホースマネージャー棟 宿泊を申し込む</a:t>
          </a:r>
        </a:p>
      </xdr:txBody>
    </xdr:sp>
    <xdr:clientData/>
  </xdr:twoCellAnchor>
  <xdr:twoCellAnchor>
    <xdr:from>
      <xdr:col>16</xdr:col>
      <xdr:colOff>228599</xdr:colOff>
      <xdr:row>13</xdr:row>
      <xdr:rowOff>47626</xdr:rowOff>
    </xdr:from>
    <xdr:to>
      <xdr:col>19</xdr:col>
      <xdr:colOff>533400</xdr:colOff>
      <xdr:row>17</xdr:row>
      <xdr:rowOff>85726</xdr:rowOff>
    </xdr:to>
    <xdr:sp macro="" textlink="">
      <xdr:nvSpPr>
        <xdr:cNvPr id="22" name="吹き出し: 角を丸めた四角形 21">
          <a:extLst>
            <a:ext uri="{FF2B5EF4-FFF2-40B4-BE49-F238E27FC236}">
              <a16:creationId xmlns:a16="http://schemas.microsoft.com/office/drawing/2014/main" id="{C8457884-8EE6-4551-A070-56BB7891229B}"/>
            </a:ext>
          </a:extLst>
        </xdr:cNvPr>
        <xdr:cNvSpPr/>
      </xdr:nvSpPr>
      <xdr:spPr>
        <a:xfrm>
          <a:off x="11363324" y="3019426"/>
          <a:ext cx="2362201" cy="1009650"/>
        </a:xfrm>
        <a:prstGeom prst="wedgeRoundRectCallout">
          <a:avLst>
            <a:gd name="adj1" fmla="val -61130"/>
            <a:gd name="adj2" fmla="val -16116"/>
            <a:gd name="adj3" fmla="val 16667"/>
          </a:avLst>
        </a:prstGeom>
        <a:solidFill>
          <a:schemeClr val="accent2">
            <a:lumMod val="20000"/>
            <a:lumOff val="80000"/>
          </a:schemeClr>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a:solidFill>
                <a:srgbClr val="0000FF"/>
              </a:solidFill>
            </a:rPr>
            <a:t>選手や馬匹がうまく出てこない場合は、「選手登録」シートや「馬匹登録シート」を再度確認</a:t>
          </a:r>
        </a:p>
      </xdr:txBody>
    </xdr:sp>
    <xdr:clientData/>
  </xdr:twoCellAnchor>
  <xdr:twoCellAnchor>
    <xdr:from>
      <xdr:col>16</xdr:col>
      <xdr:colOff>238124</xdr:colOff>
      <xdr:row>29</xdr:row>
      <xdr:rowOff>190501</xdr:rowOff>
    </xdr:from>
    <xdr:to>
      <xdr:col>19</xdr:col>
      <xdr:colOff>466725</xdr:colOff>
      <xdr:row>33</xdr:row>
      <xdr:rowOff>19051</xdr:rowOff>
    </xdr:to>
    <xdr:sp macro="" textlink="">
      <xdr:nvSpPr>
        <xdr:cNvPr id="23" name="吹き出し: 角を丸めた四角形 22">
          <a:extLst>
            <a:ext uri="{FF2B5EF4-FFF2-40B4-BE49-F238E27FC236}">
              <a16:creationId xmlns:a16="http://schemas.microsoft.com/office/drawing/2014/main" id="{79ED4EC6-5BCA-4B38-9274-D8FAC42A40CF}"/>
            </a:ext>
          </a:extLst>
        </xdr:cNvPr>
        <xdr:cNvSpPr/>
      </xdr:nvSpPr>
      <xdr:spPr>
        <a:xfrm>
          <a:off x="11372849" y="6753226"/>
          <a:ext cx="2286001" cy="933450"/>
        </a:xfrm>
        <a:prstGeom prst="wedgeRoundRectCallout">
          <a:avLst>
            <a:gd name="adj1" fmla="val -60921"/>
            <a:gd name="adj2" fmla="val 32197"/>
            <a:gd name="adj3" fmla="val 16667"/>
          </a:avLst>
        </a:prstGeom>
        <a:solidFill>
          <a:schemeClr val="accent2">
            <a:lumMod val="20000"/>
            <a:lumOff val="80000"/>
          </a:schemeClr>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a:solidFill>
                <a:srgbClr val="0000FF"/>
              </a:solidFill>
            </a:rPr>
            <a:t>エントリーファイルの名前を団体名を入れたものに変更して、</a:t>
          </a:r>
          <a:r>
            <a:rPr kumimoji="1" lang="ja-JP" altLang="en-US" sz="1100">
              <a:solidFill>
                <a:srgbClr val="FF00FF"/>
              </a:solidFill>
            </a:rPr>
            <a:t>メールで送付</a:t>
          </a:r>
        </a:p>
      </xdr:txBody>
    </xdr:sp>
    <xdr:clientData/>
  </xdr:twoCellAnchor>
  <xdr:twoCellAnchor>
    <xdr:from>
      <xdr:col>16</xdr:col>
      <xdr:colOff>257174</xdr:colOff>
      <xdr:row>33</xdr:row>
      <xdr:rowOff>180975</xdr:rowOff>
    </xdr:from>
    <xdr:to>
      <xdr:col>19</xdr:col>
      <xdr:colOff>569089</xdr:colOff>
      <xdr:row>37</xdr:row>
      <xdr:rowOff>0</xdr:rowOff>
    </xdr:to>
    <xdr:sp macro="" textlink="">
      <xdr:nvSpPr>
        <xdr:cNvPr id="25" name="吹き出し: 角を丸めた四角形 24">
          <a:extLst>
            <a:ext uri="{FF2B5EF4-FFF2-40B4-BE49-F238E27FC236}">
              <a16:creationId xmlns:a16="http://schemas.microsoft.com/office/drawing/2014/main" id="{35AA0651-E056-4FD0-B9A0-8F6F1913496E}"/>
            </a:ext>
          </a:extLst>
        </xdr:cNvPr>
        <xdr:cNvSpPr/>
      </xdr:nvSpPr>
      <xdr:spPr>
        <a:xfrm>
          <a:off x="11391899" y="7848600"/>
          <a:ext cx="2369315" cy="800100"/>
        </a:xfrm>
        <a:prstGeom prst="wedgeRoundRectCallout">
          <a:avLst>
            <a:gd name="adj1" fmla="val -60887"/>
            <a:gd name="adj2" fmla="val -43515"/>
            <a:gd name="adj3" fmla="val 16667"/>
          </a:avLst>
        </a:prstGeom>
        <a:solidFill>
          <a:schemeClr val="accent2">
            <a:lumMod val="20000"/>
            <a:lumOff val="80000"/>
          </a:schemeClr>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a:solidFill>
                <a:srgbClr val="0000FF"/>
              </a:solidFill>
            </a:rPr>
            <a:t>委任状は印刷して記入・捺印・署名し、郵送または当日に提出</a:t>
          </a:r>
        </a:p>
      </xdr:txBody>
    </xdr:sp>
    <xdr:clientData/>
  </xdr:twoCellAnchor>
  <xdr:twoCellAnchor>
    <xdr:from>
      <xdr:col>16</xdr:col>
      <xdr:colOff>228599</xdr:colOff>
      <xdr:row>2</xdr:row>
      <xdr:rowOff>9524</xdr:rowOff>
    </xdr:from>
    <xdr:to>
      <xdr:col>19</xdr:col>
      <xdr:colOff>533400</xdr:colOff>
      <xdr:row>6</xdr:row>
      <xdr:rowOff>123824</xdr:rowOff>
    </xdr:to>
    <xdr:sp macro="" textlink="">
      <xdr:nvSpPr>
        <xdr:cNvPr id="26" name="吹き出し: 角を丸めた四角形 25">
          <a:extLst>
            <a:ext uri="{FF2B5EF4-FFF2-40B4-BE49-F238E27FC236}">
              <a16:creationId xmlns:a16="http://schemas.microsoft.com/office/drawing/2014/main" id="{67651C50-71AA-424F-8A8A-6C9DFD2849A8}"/>
            </a:ext>
          </a:extLst>
        </xdr:cNvPr>
        <xdr:cNvSpPr/>
      </xdr:nvSpPr>
      <xdr:spPr>
        <a:xfrm>
          <a:off x="11363324" y="485774"/>
          <a:ext cx="2362201" cy="923925"/>
        </a:xfrm>
        <a:prstGeom prst="wedgeRoundRectCallout">
          <a:avLst>
            <a:gd name="adj1" fmla="val -62340"/>
            <a:gd name="adj2" fmla="val 17311"/>
            <a:gd name="adj3" fmla="val 16667"/>
          </a:avLst>
        </a:prstGeom>
        <a:solidFill>
          <a:schemeClr val="accent2">
            <a:lumMod val="20000"/>
            <a:lumOff val="80000"/>
          </a:schemeClr>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a:solidFill>
                <a:srgbClr val="0000FF"/>
              </a:solidFill>
            </a:rPr>
            <a:t>団体名や団体連絡先などを記入</a:t>
          </a:r>
          <a:endParaRPr kumimoji="1" lang="en-US" altLang="ja-JP" sz="1100">
            <a:solidFill>
              <a:srgbClr val="0000FF"/>
            </a:solidFill>
          </a:endParaRPr>
        </a:p>
        <a:p>
          <a:pPr algn="l"/>
          <a:r>
            <a:rPr kumimoji="1" lang="ja-JP" altLang="en-US" sz="1100">
              <a:solidFill>
                <a:srgbClr val="0000FF"/>
              </a:solidFill>
            </a:rPr>
            <a:t>「誓約」にチェックを忘れずに</a:t>
          </a:r>
        </a:p>
      </xdr:txBody>
    </xdr:sp>
    <xdr:clientData/>
  </xdr:twoCellAnchor>
  <xdr:oneCellAnchor>
    <xdr:from>
      <xdr:col>12</xdr:col>
      <xdr:colOff>290512</xdr:colOff>
      <xdr:row>26</xdr:row>
      <xdr:rowOff>101585</xdr:rowOff>
    </xdr:from>
    <xdr:ext cx="2971800" cy="664863"/>
    <xdr:sp macro="" textlink="">
      <xdr:nvSpPr>
        <xdr:cNvPr id="11" name="四角形: 角を丸くする 10">
          <a:extLst>
            <a:ext uri="{FF2B5EF4-FFF2-40B4-BE49-F238E27FC236}">
              <a16:creationId xmlns:a16="http://schemas.microsoft.com/office/drawing/2014/main" id="{DDC50846-587A-4B23-9278-C4F07B248843}"/>
            </a:ext>
          </a:extLst>
        </xdr:cNvPr>
        <xdr:cNvSpPr/>
      </xdr:nvSpPr>
      <xdr:spPr>
        <a:xfrm>
          <a:off x="8643937" y="5949935"/>
          <a:ext cx="2971800" cy="664863"/>
        </a:xfrm>
        <a:prstGeom prst="roundRect">
          <a:avLst/>
        </a:prstGeom>
        <a:solidFill>
          <a:srgbClr val="0000FF"/>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lIns="0" tIns="0" rIns="0" bIns="0" rtlCol="0" anchor="ctr">
          <a:spAutoFit/>
        </a:bodyPr>
        <a:lstStyle/>
        <a:p>
          <a:pPr algn="ctr"/>
          <a:r>
            <a:rPr kumimoji="1" lang="ja-JP" altLang="en-US" sz="1400" b="1"/>
            <a:t>振込日、振込人、振込金額を「団体登録」シートの右下の欄に記載</a:t>
          </a:r>
        </a:p>
      </xdr:txBody>
    </xdr:sp>
    <xdr:clientData/>
  </xdr:oneCellAnchor>
  <xdr:twoCellAnchor>
    <xdr:from>
      <xdr:col>13</xdr:col>
      <xdr:colOff>104775</xdr:colOff>
      <xdr:row>29</xdr:row>
      <xdr:rowOff>116524</xdr:rowOff>
    </xdr:from>
    <xdr:to>
      <xdr:col>14</xdr:col>
      <xdr:colOff>133350</xdr:colOff>
      <xdr:row>30</xdr:row>
      <xdr:rowOff>219075</xdr:rowOff>
    </xdr:to>
    <xdr:sp macro="" textlink="">
      <xdr:nvSpPr>
        <xdr:cNvPr id="12" name="矢印: 下 11">
          <a:extLst>
            <a:ext uri="{FF2B5EF4-FFF2-40B4-BE49-F238E27FC236}">
              <a16:creationId xmlns:a16="http://schemas.microsoft.com/office/drawing/2014/main" id="{4689920D-0E16-4089-B356-D7F4E93B847C}"/>
            </a:ext>
          </a:extLst>
        </xdr:cNvPr>
        <xdr:cNvSpPr/>
      </xdr:nvSpPr>
      <xdr:spPr>
        <a:xfrm>
          <a:off x="9753600" y="6679249"/>
          <a:ext cx="714375" cy="340676"/>
        </a:xfrm>
        <a:prstGeom prst="down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638175</xdr:colOff>
      <xdr:row>0</xdr:row>
      <xdr:rowOff>133349</xdr:rowOff>
    </xdr:from>
    <xdr:to>
      <xdr:col>15</xdr:col>
      <xdr:colOff>95250</xdr:colOff>
      <xdr:row>2</xdr:row>
      <xdr:rowOff>85724</xdr:rowOff>
    </xdr:to>
    <xdr:sp macro="" textlink="">
      <xdr:nvSpPr>
        <xdr:cNvPr id="13" name="テキスト ボックス 12">
          <a:extLst>
            <a:ext uri="{FF2B5EF4-FFF2-40B4-BE49-F238E27FC236}">
              <a16:creationId xmlns:a16="http://schemas.microsoft.com/office/drawing/2014/main" id="{7E32E7D4-8379-A4B1-E248-4F794A643243}"/>
            </a:ext>
          </a:extLst>
        </xdr:cNvPr>
        <xdr:cNvSpPr txBox="1"/>
      </xdr:nvSpPr>
      <xdr:spPr>
        <a:xfrm>
          <a:off x="8420100" y="133349"/>
          <a:ext cx="2124075"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latin typeface="メイリオ" panose="020B0604030504040204" pitchFamily="50" charset="-128"/>
              <a:ea typeface="メイリオ" panose="020B0604030504040204" pitchFamily="50" charset="-128"/>
            </a:rPr>
            <a:t>おおまかな記載の流れ</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156871</xdr:colOff>
      <xdr:row>9</xdr:row>
      <xdr:rowOff>58316</xdr:rowOff>
    </xdr:from>
    <xdr:to>
      <xdr:col>5</xdr:col>
      <xdr:colOff>311857</xdr:colOff>
      <xdr:row>9</xdr:row>
      <xdr:rowOff>211392</xdr:rowOff>
    </xdr:to>
    <xdr:sp macro="" textlink="">
      <xdr:nvSpPr>
        <xdr:cNvPr id="2" name="正方形/長方形 1">
          <a:extLst>
            <a:ext uri="{FF2B5EF4-FFF2-40B4-BE49-F238E27FC236}">
              <a16:creationId xmlns:a16="http://schemas.microsoft.com/office/drawing/2014/main" id="{65872BC3-08F3-40EE-80DD-741A38EC94A8}"/>
            </a:ext>
          </a:extLst>
        </xdr:cNvPr>
        <xdr:cNvSpPr/>
      </xdr:nvSpPr>
      <xdr:spPr>
        <a:xfrm>
          <a:off x="5805196" y="2191916"/>
          <a:ext cx="154986" cy="153076"/>
        </a:xfrm>
        <a:prstGeom prst="rect">
          <a:avLst/>
        </a:prstGeom>
        <a:noFill/>
        <a:ln w="19050" cap="flat" cmpd="sng" algn="ctr">
          <a:solidFill>
            <a:sysClr val="windowText" lastClr="00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390525</xdr:colOff>
      <xdr:row>2</xdr:row>
      <xdr:rowOff>76200</xdr:rowOff>
    </xdr:from>
    <xdr:to>
      <xdr:col>16</xdr:col>
      <xdr:colOff>962025</xdr:colOff>
      <xdr:row>29</xdr:row>
      <xdr:rowOff>38100</xdr:rowOff>
    </xdr:to>
    <xdr:sp macro="" textlink="">
      <xdr:nvSpPr>
        <xdr:cNvPr id="2" name="正方形/長方形 1">
          <a:extLst>
            <a:ext uri="{FF2B5EF4-FFF2-40B4-BE49-F238E27FC236}">
              <a16:creationId xmlns:a16="http://schemas.microsoft.com/office/drawing/2014/main" id="{E97AE6D2-DE07-459E-AFFB-83078F9E660E}"/>
            </a:ext>
          </a:extLst>
        </xdr:cNvPr>
        <xdr:cNvSpPr/>
      </xdr:nvSpPr>
      <xdr:spPr>
        <a:xfrm>
          <a:off x="695325" y="619125"/>
          <a:ext cx="13858875" cy="7153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使わない</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habaren@jbg.jp" TargetMode="External"/><Relationship Id="rId1" Type="http://schemas.openxmlformats.org/officeDocument/2006/relationships/hyperlink" Target="https://www.jbg.jp/carrotstake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M34"/>
  <sheetViews>
    <sheetView tabSelected="1" view="pageBreakPreview" zoomScaleNormal="100" zoomScaleSheetLayoutView="100" workbookViewId="0">
      <selection activeCell="A3" sqref="A3:L3"/>
    </sheetView>
  </sheetViews>
  <sheetFormatPr defaultRowHeight="18.75" x14ac:dyDescent="0.4"/>
  <cols>
    <col min="1" max="1" width="9" customWidth="1"/>
    <col min="12" max="12" width="3.125" customWidth="1"/>
    <col min="13" max="13" width="17" customWidth="1"/>
  </cols>
  <sheetData>
    <row r="1" spans="1:13" ht="24" x14ac:dyDescent="0.4">
      <c r="A1" s="262" t="str">
        <f>"第"&amp;マスタ!$C$4&amp;"回 キャロットステークス 申込書"</f>
        <v>第44回 キャロットステークス 申込書</v>
      </c>
      <c r="B1" s="256"/>
      <c r="C1" s="256"/>
      <c r="D1" s="256"/>
      <c r="E1" s="256"/>
      <c r="F1" s="256"/>
      <c r="G1" s="256"/>
      <c r="H1" s="256"/>
      <c r="I1" s="256"/>
      <c r="J1" s="256"/>
      <c r="K1" s="256"/>
      <c r="L1" s="256"/>
      <c r="M1" s="256"/>
    </row>
    <row r="2" spans="1:13" ht="13.5" customHeight="1" x14ac:dyDescent="0.4"/>
    <row r="3" spans="1:13" x14ac:dyDescent="0.4">
      <c r="A3" s="414" t="s">
        <v>280</v>
      </c>
      <c r="B3" s="414"/>
      <c r="C3" s="414"/>
      <c r="D3" s="414"/>
      <c r="E3" s="414"/>
      <c r="F3" s="414"/>
      <c r="G3" s="414"/>
      <c r="H3" s="414"/>
      <c r="I3" s="414"/>
      <c r="J3" s="414"/>
      <c r="K3" s="414"/>
      <c r="L3" s="414"/>
      <c r="M3" s="46"/>
    </row>
    <row r="4" spans="1:13" ht="7.5" customHeight="1" x14ac:dyDescent="0.4"/>
    <row r="5" spans="1:13" ht="18.75" customHeight="1" x14ac:dyDescent="0.4">
      <c r="A5" s="109" t="s">
        <v>373</v>
      </c>
    </row>
    <row r="6" spans="1:13" ht="18.75" customHeight="1" x14ac:dyDescent="0.4">
      <c r="B6" s="268" t="s">
        <v>372</v>
      </c>
    </row>
    <row r="7" spans="1:13" x14ac:dyDescent="0.4">
      <c r="A7" s="83" t="s">
        <v>228</v>
      </c>
    </row>
    <row r="8" spans="1:13" ht="19.5" x14ac:dyDescent="0.4">
      <c r="A8" t="s">
        <v>1761</v>
      </c>
    </row>
    <row r="9" spans="1:13" ht="19.5" x14ac:dyDescent="0.4">
      <c r="A9" t="s">
        <v>1835</v>
      </c>
    </row>
    <row r="10" spans="1:13" x14ac:dyDescent="0.4">
      <c r="A10" t="s">
        <v>1836</v>
      </c>
    </row>
    <row r="11" spans="1:13" x14ac:dyDescent="0.4">
      <c r="A11" t="s">
        <v>301</v>
      </c>
    </row>
    <row r="12" spans="1:13" x14ac:dyDescent="0.4">
      <c r="A12" t="s">
        <v>232</v>
      </c>
    </row>
    <row r="13" spans="1:13" x14ac:dyDescent="0.4">
      <c r="A13" t="s">
        <v>231</v>
      </c>
    </row>
    <row r="14" spans="1:13" ht="20.25" customHeight="1" x14ac:dyDescent="0.4">
      <c r="A14" t="s">
        <v>1837</v>
      </c>
    </row>
    <row r="15" spans="1:13" x14ac:dyDescent="0.4">
      <c r="A15" t="s">
        <v>1838</v>
      </c>
    </row>
    <row r="17" spans="1:8" x14ac:dyDescent="0.4">
      <c r="A17" s="83" t="s">
        <v>225</v>
      </c>
    </row>
    <row r="18" spans="1:8" x14ac:dyDescent="0.4">
      <c r="A18" t="s">
        <v>1841</v>
      </c>
    </row>
    <row r="19" spans="1:8" x14ac:dyDescent="0.4">
      <c r="A19" s="109" t="s">
        <v>291</v>
      </c>
    </row>
    <row r="20" spans="1:8" x14ac:dyDescent="0.4">
      <c r="A20" t="s">
        <v>230</v>
      </c>
    </row>
    <row r="21" spans="1:8" x14ac:dyDescent="0.4">
      <c r="A21" s="109" t="s">
        <v>1839</v>
      </c>
    </row>
    <row r="22" spans="1:8" x14ac:dyDescent="0.4">
      <c r="A22" t="s">
        <v>1840</v>
      </c>
    </row>
    <row r="23" spans="1:8" hidden="1" x14ac:dyDescent="0.4">
      <c r="A23" t="str">
        <f>"・エントリー締め切り後の変更受付期間中の変更は、変更1件につき、"&amp;マスタ!$C$16&amp;"円の変更手数料がかかります。"</f>
        <v>・エントリー締め切り後の変更受付期間中の変更は、変更1件につき、0円の変更手数料がかかります。</v>
      </c>
    </row>
    <row r="25" spans="1:8" x14ac:dyDescent="0.4">
      <c r="A25" s="109" t="s">
        <v>292</v>
      </c>
    </row>
    <row r="26" spans="1:8" x14ac:dyDescent="0.4">
      <c r="A26" t="str">
        <f>"・変更受付期間後の変更は、打ち合わせ会の場(またはそれに準ずるもの)で受け付けます。"</f>
        <v>・変更受付期間後の変更は、打ち合わせ会の場(またはそれに準ずるもの)で受け付けます。</v>
      </c>
    </row>
    <row r="27" spans="1:8" x14ac:dyDescent="0.4">
      <c r="A27" t="str">
        <f>"　この場合、変更1件につき、"&amp;マスタ!$C$17&amp;"円の変更手数料がかかります。"</f>
        <v>　この場合、変更1件につき、0円の変更手数料がかかります。</v>
      </c>
    </row>
    <row r="28" spans="1:8" x14ac:dyDescent="0.4">
      <c r="A28" t="s">
        <v>320</v>
      </c>
    </row>
    <row r="29" spans="1:8" x14ac:dyDescent="0.4">
      <c r="A29" t="s">
        <v>273</v>
      </c>
    </row>
    <row r="30" spans="1:8" ht="18.75" customHeight="1" x14ac:dyDescent="0.4">
      <c r="A30" t="s">
        <v>274</v>
      </c>
    </row>
    <row r="32" spans="1:8" ht="25.5" x14ac:dyDescent="0.5">
      <c r="A32" s="385" t="s">
        <v>227</v>
      </c>
      <c r="B32" s="386"/>
      <c r="C32" s="386"/>
      <c r="D32" s="386"/>
      <c r="E32" s="386"/>
      <c r="F32" s="386"/>
      <c r="G32" s="386"/>
      <c r="H32" s="385" t="s">
        <v>302</v>
      </c>
    </row>
    <row r="33" spans="1:8" ht="24" x14ac:dyDescent="0.5">
      <c r="A33" s="117" t="str">
        <f>"エントリー締め切り： "&amp;マスタ!D10</f>
        <v>エントリー締め切り： 2023年9月13日(水)</v>
      </c>
      <c r="H33" s="384" t="s">
        <v>229</v>
      </c>
    </row>
    <row r="34" spans="1:8" ht="21" customHeight="1" x14ac:dyDescent="0.4">
      <c r="A34" t="str">
        <f>"エントリー変更受付期間： "&amp;マスタ!D11 &amp; " ～ " &amp;マスタ!F12</f>
        <v>エントリー変更受付期間： 2023年9月14日(木) ～ 9月27日(水)</v>
      </c>
      <c r="H34" s="387" t="s">
        <v>226</v>
      </c>
    </row>
  </sheetData>
  <sheetProtection algorithmName="SHA-512" hashValue="+VUKfWoKxb30bCFlp5TuyOhJgRECSkmbAQlabj40DulJdmUGeSpfC4Abk9hP+NxBQOcXv5BRvSoQB/EzZOcMUg==" saltValue="tyR+XgJh/pv9Nsx8sOTvnQ==" spinCount="100000" sheet="1" autoFilter="0"/>
  <dataConsolidate/>
  <mergeCells count="1">
    <mergeCell ref="A3:L3"/>
  </mergeCells>
  <phoneticPr fontId="4"/>
  <hyperlinks>
    <hyperlink ref="B6" r:id="rId1"/>
    <hyperlink ref="H34" r:id="rId2"/>
  </hyperlinks>
  <pageMargins left="0.70866141732283472" right="0.70866141732283472" top="0.55118110236220474" bottom="0.55118110236220474" header="0.31496062992125984" footer="0.31496062992125984"/>
  <pageSetup paperSize="9" scale="60" orientation="landscape"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7030A0"/>
  </sheetPr>
  <dimension ref="A1:H38"/>
  <sheetViews>
    <sheetView view="pageBreakPreview" zoomScale="110" zoomScaleNormal="100" zoomScaleSheetLayoutView="110" workbookViewId="0">
      <selection activeCell="A6" sqref="A6"/>
    </sheetView>
  </sheetViews>
  <sheetFormatPr defaultRowHeight="18.75" x14ac:dyDescent="0.4"/>
  <cols>
    <col min="3" max="3" width="6.625" customWidth="1"/>
    <col min="4" max="4" width="11.375" customWidth="1"/>
    <col min="5" max="5" width="14.75" bestFit="1" customWidth="1"/>
  </cols>
  <sheetData>
    <row r="1" spans="1:8" ht="19.5" x14ac:dyDescent="0.4">
      <c r="A1" s="391" t="s">
        <v>294</v>
      </c>
    </row>
    <row r="2" spans="1:8" ht="19.5" x14ac:dyDescent="0.4">
      <c r="A2" s="392" t="s">
        <v>267</v>
      </c>
    </row>
    <row r="3" spans="1:8" x14ac:dyDescent="0.4">
      <c r="A3" t="str">
        <f>A35</f>
        <v>* 印刷して、日付、選手名、保護者名(自署)を記入し、捺印してください。エントリー後、日本社会人団体馬術連盟 事務局まで郵送、または大会本部・打ち合わせ会 会場で提出してください。</v>
      </c>
    </row>
    <row r="4" spans="1:8" x14ac:dyDescent="0.4">
      <c r="A4" t="str">
        <f>A36</f>
        <v>* 万一、未成年の選手が落馬し、保護者が不在で、委任状の提出がない場合、その後、大会期間中、再騎乗は認められません。その後の競技へのエントリーがある場合は、棄権扱いとなります。</v>
      </c>
    </row>
    <row r="5" spans="1:8" x14ac:dyDescent="0.4">
      <c r="A5" t="str">
        <f>A37</f>
        <v>* 落馬は競技中・競技場内に限りません。大会期間中の、競技場・準備運動場・通路等、御殿場市馬術・スポーツセンター敷地内でのすべての落馬に適用されます。</v>
      </c>
    </row>
    <row r="6" spans="1:8" ht="15" customHeight="1" x14ac:dyDescent="0.4"/>
    <row r="7" spans="1:8" ht="26.25" customHeight="1" x14ac:dyDescent="0.4">
      <c r="A7" s="267" t="s">
        <v>260</v>
      </c>
      <c r="B7" s="267"/>
      <c r="C7" s="267"/>
      <c r="D7" s="267"/>
      <c r="E7" s="267"/>
      <c r="F7" s="267"/>
      <c r="G7" s="267"/>
      <c r="H7" s="267"/>
    </row>
    <row r="8" spans="1:8" ht="16.5" customHeight="1" x14ac:dyDescent="0.4">
      <c r="A8" s="291" t="s">
        <v>309</v>
      </c>
      <c r="B8" s="292"/>
      <c r="C8" s="292"/>
      <c r="D8" s="292"/>
      <c r="E8" s="292"/>
      <c r="F8" s="292"/>
      <c r="G8" s="292"/>
      <c r="H8" s="292"/>
    </row>
    <row r="9" spans="1:8" ht="11.25" customHeight="1" x14ac:dyDescent="0.4">
      <c r="A9" s="137"/>
      <c r="B9" s="138"/>
      <c r="C9" s="138"/>
      <c r="D9" s="138"/>
      <c r="E9" s="138"/>
      <c r="F9" s="138"/>
      <c r="G9" s="138"/>
      <c r="H9" s="138"/>
    </row>
    <row r="10" spans="1:8" ht="26.25" customHeight="1" x14ac:dyDescent="0.4">
      <c r="F10" s="293" t="str">
        <f>マスタ!E6</f>
        <v>2023年</v>
      </c>
      <c r="G10" s="159" t="s">
        <v>262</v>
      </c>
      <c r="H10" s="159" t="s">
        <v>144</v>
      </c>
    </row>
    <row r="11" spans="1:8" ht="18" customHeight="1" x14ac:dyDescent="0.4">
      <c r="F11" s="1"/>
      <c r="G11" s="1"/>
      <c r="H11" s="1"/>
    </row>
    <row r="12" spans="1:8" ht="18.75" customHeight="1" x14ac:dyDescent="0.4">
      <c r="A12" s="49" t="str">
        <f>"第"&amp;マスタ!C4&amp;"回 キャロットステークス 大会会長"</f>
        <v>第44回 キャロットステークス 大会会長</v>
      </c>
      <c r="F12" s="1"/>
      <c r="G12" s="1"/>
      <c r="H12" s="1"/>
    </row>
    <row r="13" spans="1:8" s="46" customFormat="1" ht="12.75" customHeight="1" x14ac:dyDescent="0.4">
      <c r="A13" s="49"/>
    </row>
    <row r="14" spans="1:8" s="46" customFormat="1" ht="26.25" customHeight="1" x14ac:dyDescent="0.4">
      <c r="A14" s="49"/>
      <c r="E14" s="23" t="s">
        <v>18</v>
      </c>
      <c r="F14" s="573"/>
      <c r="G14" s="573"/>
      <c r="H14" s="573"/>
    </row>
    <row r="15" spans="1:8" ht="14.25" customHeight="1" x14ac:dyDescent="0.4"/>
    <row r="16" spans="1:8" ht="15" customHeight="1" x14ac:dyDescent="0.4">
      <c r="A16" s="572" t="s">
        <v>271</v>
      </c>
      <c r="B16" s="572"/>
      <c r="C16" s="572"/>
      <c r="D16" s="572"/>
      <c r="E16" s="572"/>
      <c r="F16" s="572"/>
      <c r="G16" s="572"/>
      <c r="H16" s="572"/>
    </row>
    <row r="17" spans="1:8" ht="15" customHeight="1" x14ac:dyDescent="0.4">
      <c r="A17" s="572"/>
      <c r="B17" s="572"/>
      <c r="C17" s="572"/>
      <c r="D17" s="572"/>
      <c r="E17" s="572"/>
      <c r="F17" s="572"/>
      <c r="G17" s="572"/>
      <c r="H17" s="572"/>
    </row>
    <row r="18" spans="1:8" ht="15" customHeight="1" x14ac:dyDescent="0.4">
      <c r="A18" s="572"/>
      <c r="B18" s="572"/>
      <c r="C18" s="572"/>
      <c r="D18" s="572"/>
      <c r="E18" s="572"/>
      <c r="F18" s="572"/>
      <c r="G18" s="572"/>
      <c r="H18" s="572"/>
    </row>
    <row r="19" spans="1:8" ht="15" customHeight="1" x14ac:dyDescent="0.4">
      <c r="A19" s="572"/>
      <c r="B19" s="572"/>
      <c r="C19" s="572"/>
      <c r="D19" s="572"/>
      <c r="E19" s="572"/>
      <c r="F19" s="572"/>
      <c r="G19" s="572"/>
      <c r="H19" s="572"/>
    </row>
    <row r="20" spans="1:8" ht="14.25" customHeight="1" x14ac:dyDescent="0.4"/>
    <row r="21" spans="1:8" ht="19.5" customHeight="1" x14ac:dyDescent="0.4">
      <c r="A21" s="582" t="s">
        <v>31</v>
      </c>
      <c r="B21" s="584"/>
      <c r="C21" s="583"/>
      <c r="D21" s="582" t="s">
        <v>265</v>
      </c>
      <c r="E21" s="583"/>
      <c r="F21" s="582" t="s">
        <v>308</v>
      </c>
      <c r="G21" s="583"/>
      <c r="H21" s="112" t="s">
        <v>143</v>
      </c>
    </row>
    <row r="22" spans="1:8" ht="27" customHeight="1" x14ac:dyDescent="0.4">
      <c r="A22" s="576"/>
      <c r="B22" s="577"/>
      <c r="C22" s="578"/>
      <c r="D22" s="579"/>
      <c r="E22" s="580"/>
      <c r="F22" s="581"/>
      <c r="G22" s="578"/>
      <c r="H22" s="345"/>
    </row>
    <row r="23" spans="1:8" ht="27" customHeight="1" x14ac:dyDescent="0.4">
      <c r="A23" s="576"/>
      <c r="B23" s="577"/>
      <c r="C23" s="578"/>
      <c r="D23" s="579"/>
      <c r="E23" s="580"/>
      <c r="F23" s="581"/>
      <c r="G23" s="578"/>
      <c r="H23" s="345"/>
    </row>
    <row r="24" spans="1:8" ht="27" customHeight="1" x14ac:dyDescent="0.4">
      <c r="A24" s="576"/>
      <c r="B24" s="577"/>
      <c r="C24" s="578"/>
      <c r="D24" s="579"/>
      <c r="E24" s="580"/>
      <c r="F24" s="581"/>
      <c r="G24" s="578"/>
      <c r="H24" s="345"/>
    </row>
    <row r="25" spans="1:8" ht="27" customHeight="1" x14ac:dyDescent="0.4">
      <c r="A25" s="576"/>
      <c r="B25" s="577"/>
      <c r="C25" s="578"/>
      <c r="D25" s="579"/>
      <c r="E25" s="580"/>
      <c r="F25" s="581"/>
      <c r="G25" s="578"/>
      <c r="H25" s="345"/>
    </row>
    <row r="26" spans="1:8" ht="27" customHeight="1" x14ac:dyDescent="0.4">
      <c r="A26" s="576"/>
      <c r="B26" s="577"/>
      <c r="C26" s="578"/>
      <c r="D26" s="579"/>
      <c r="E26" s="580"/>
      <c r="F26" s="581"/>
      <c r="G26" s="578"/>
      <c r="H26" s="345"/>
    </row>
    <row r="27" spans="1:8" ht="27" customHeight="1" x14ac:dyDescent="0.4">
      <c r="A27" s="576"/>
      <c r="B27" s="577"/>
      <c r="C27" s="578"/>
      <c r="D27" s="579"/>
      <c r="E27" s="580"/>
      <c r="F27" s="581"/>
      <c r="G27" s="578"/>
      <c r="H27" s="345"/>
    </row>
    <row r="28" spans="1:8" ht="27" customHeight="1" x14ac:dyDescent="0.4">
      <c r="A28" s="576"/>
      <c r="B28" s="577"/>
      <c r="C28" s="578"/>
      <c r="D28" s="579"/>
      <c r="E28" s="580"/>
      <c r="F28" s="581"/>
      <c r="G28" s="578"/>
      <c r="H28" s="345"/>
    </row>
    <row r="29" spans="1:8" ht="27" customHeight="1" x14ac:dyDescent="0.4">
      <c r="A29" s="576"/>
      <c r="B29" s="577"/>
      <c r="C29" s="578"/>
      <c r="D29" s="579"/>
      <c r="E29" s="580"/>
      <c r="F29" s="581"/>
      <c r="G29" s="578"/>
      <c r="H29" s="345"/>
    </row>
    <row r="30" spans="1:8" ht="27" customHeight="1" x14ac:dyDescent="0.4">
      <c r="A30" s="576"/>
      <c r="B30" s="577"/>
      <c r="C30" s="578"/>
      <c r="D30" s="579"/>
      <c r="E30" s="580"/>
      <c r="F30" s="581"/>
      <c r="G30" s="578"/>
      <c r="H30" s="345"/>
    </row>
    <row r="31" spans="1:8" ht="27" customHeight="1" x14ac:dyDescent="0.4">
      <c r="A31" s="576"/>
      <c r="B31" s="577"/>
      <c r="C31" s="578"/>
      <c r="D31" s="579"/>
      <c r="E31" s="580"/>
      <c r="F31" s="581"/>
      <c r="G31" s="578"/>
      <c r="H31" s="345"/>
    </row>
    <row r="32" spans="1:8" ht="27" customHeight="1" x14ac:dyDescent="0.4">
      <c r="A32" s="576"/>
      <c r="B32" s="577"/>
      <c r="C32" s="578"/>
      <c r="D32" s="579"/>
      <c r="E32" s="580"/>
      <c r="F32" s="581"/>
      <c r="G32" s="578"/>
      <c r="H32" s="345"/>
    </row>
    <row r="33" spans="1:8" ht="27" customHeight="1" x14ac:dyDescent="0.4">
      <c r="A33" s="576"/>
      <c r="B33" s="577"/>
      <c r="C33" s="578"/>
      <c r="D33" s="579"/>
      <c r="E33" s="580"/>
      <c r="F33" s="581"/>
      <c r="G33" s="578"/>
      <c r="H33" s="345"/>
    </row>
    <row r="34" spans="1:8" ht="13.5" customHeight="1" x14ac:dyDescent="0.4"/>
    <row r="35" spans="1:8" ht="36" customHeight="1" x14ac:dyDescent="0.4">
      <c r="A35" s="571" t="s">
        <v>318</v>
      </c>
      <c r="B35" s="571"/>
      <c r="C35" s="571"/>
      <c r="D35" s="571"/>
      <c r="E35" s="571"/>
      <c r="F35" s="571"/>
      <c r="G35" s="571"/>
      <c r="H35" s="571"/>
    </row>
    <row r="36" spans="1:8" ht="36" customHeight="1" x14ac:dyDescent="0.4">
      <c r="A36" s="571" t="s">
        <v>290</v>
      </c>
      <c r="B36" s="571"/>
      <c r="C36" s="571"/>
      <c r="D36" s="571"/>
      <c r="E36" s="571"/>
      <c r="F36" s="571"/>
      <c r="G36" s="571"/>
      <c r="H36" s="571"/>
    </row>
    <row r="37" spans="1:8" ht="36" customHeight="1" x14ac:dyDescent="0.4">
      <c r="A37" s="449" t="s">
        <v>316</v>
      </c>
      <c r="B37" s="449"/>
      <c r="C37" s="449"/>
      <c r="D37" s="449"/>
      <c r="E37" s="449"/>
      <c r="F37" s="449"/>
      <c r="G37" s="449"/>
      <c r="H37" s="449"/>
    </row>
    <row r="38" spans="1:8" x14ac:dyDescent="0.4">
      <c r="A38" s="571" t="s">
        <v>315</v>
      </c>
      <c r="B38" s="449"/>
      <c r="C38" s="449"/>
      <c r="D38" s="449"/>
      <c r="E38" s="449"/>
      <c r="F38" s="449"/>
      <c r="G38" s="449"/>
      <c r="H38" s="449"/>
    </row>
  </sheetData>
  <sheetProtection algorithmName="SHA-512" hashValue="cs5IlnjkGH85d3q2Eu9wKSJ1a5I5P9pTauz4EQksldDhYz8VSgSznOChwFj3UePMdjirP0itKC0b5WY43iiLEQ==" saltValue="vEqIscBDmRadYx+YD/4AOQ==" spinCount="100000" sheet="1" objects="1" scenarios="1" autoFilter="0"/>
  <mergeCells count="45">
    <mergeCell ref="A32:C32"/>
    <mergeCell ref="A33:C33"/>
    <mergeCell ref="A22:C22"/>
    <mergeCell ref="D22:E22"/>
    <mergeCell ref="F22:G22"/>
    <mergeCell ref="A23:C23"/>
    <mergeCell ref="D23:E23"/>
    <mergeCell ref="F23:G23"/>
    <mergeCell ref="A24:C24"/>
    <mergeCell ref="D24:E24"/>
    <mergeCell ref="F24:G24"/>
    <mergeCell ref="A25:C25"/>
    <mergeCell ref="D25:E25"/>
    <mergeCell ref="F25:G25"/>
    <mergeCell ref="A26:C26"/>
    <mergeCell ref="D26:E26"/>
    <mergeCell ref="F14:H14"/>
    <mergeCell ref="A16:H19"/>
    <mergeCell ref="D21:E21"/>
    <mergeCell ref="F21:G21"/>
    <mergeCell ref="A21:C21"/>
    <mergeCell ref="F26:G26"/>
    <mergeCell ref="A38:H38"/>
    <mergeCell ref="A28:C28"/>
    <mergeCell ref="D28:E28"/>
    <mergeCell ref="F28:G28"/>
    <mergeCell ref="A29:C29"/>
    <mergeCell ref="D29:E29"/>
    <mergeCell ref="F29:G29"/>
    <mergeCell ref="A35:H35"/>
    <mergeCell ref="A36:H36"/>
    <mergeCell ref="A37:H37"/>
    <mergeCell ref="D33:E33"/>
    <mergeCell ref="D32:E32"/>
    <mergeCell ref="D31:E31"/>
    <mergeCell ref="F32:G32"/>
    <mergeCell ref="F33:G33"/>
    <mergeCell ref="A30:C30"/>
    <mergeCell ref="D30:E30"/>
    <mergeCell ref="F30:G30"/>
    <mergeCell ref="F31:G31"/>
    <mergeCell ref="A27:C27"/>
    <mergeCell ref="D27:E27"/>
    <mergeCell ref="F27:G27"/>
    <mergeCell ref="A31:C31"/>
  </mergeCells>
  <phoneticPr fontId="4"/>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H50"/>
  <sheetViews>
    <sheetView view="pageBreakPreview" topLeftCell="F1" zoomScale="115" zoomScaleNormal="100" zoomScaleSheetLayoutView="115" workbookViewId="0">
      <selection activeCell="M39" sqref="M39"/>
    </sheetView>
  </sheetViews>
  <sheetFormatPr defaultRowHeight="18.75" x14ac:dyDescent="0.4"/>
  <cols>
    <col min="1" max="1" width="11.625" customWidth="1"/>
    <col min="2" max="2" width="2.375" bestFit="1" customWidth="1"/>
    <col min="3" max="3" width="9.125" bestFit="1" customWidth="1"/>
    <col min="4" max="4" width="12.625" customWidth="1"/>
    <col min="5" max="5" width="5.5" customWidth="1"/>
    <col min="6" max="6" width="8" customWidth="1"/>
    <col min="7" max="7" width="2.875" customWidth="1"/>
    <col min="8" max="9" width="4.25" bestFit="1" customWidth="1"/>
    <col min="10" max="10" width="4.25" customWidth="1"/>
    <col min="11" max="11" width="10.25" bestFit="1" customWidth="1"/>
    <col min="12" max="12" width="32.875" bestFit="1" customWidth="1"/>
    <col min="13" max="13" width="22" bestFit="1" customWidth="1"/>
    <col min="15" max="18" width="5.625" customWidth="1"/>
    <col min="19" max="19" width="16.875" customWidth="1"/>
    <col min="20" max="21" width="4.25" bestFit="1" customWidth="1"/>
    <col min="22" max="22" width="3" bestFit="1" customWidth="1"/>
    <col min="23" max="23" width="2.75" bestFit="1" customWidth="1"/>
    <col min="24" max="29" width="3.625" customWidth="1"/>
    <col min="31" max="31" width="13.25" customWidth="1"/>
    <col min="32" max="32" width="9.75" customWidth="1"/>
    <col min="33" max="33" width="4.25" bestFit="1" customWidth="1"/>
    <col min="36" max="36" width="5.625" bestFit="1" customWidth="1"/>
    <col min="37" max="37" width="10.5" customWidth="1"/>
    <col min="39" max="39" width="15.625" customWidth="1"/>
    <col min="40" max="41" width="3.875" bestFit="1" customWidth="1"/>
    <col min="42" max="57" width="3.75" customWidth="1"/>
    <col min="58" max="60" width="4.875" customWidth="1"/>
  </cols>
  <sheetData>
    <row r="1" spans="1:60" ht="19.5" x14ac:dyDescent="0.4">
      <c r="A1" s="82" t="str">
        <f>"第"&amp;マスタ!C4&amp;"回 キャロットステークス データ(マスタ)"</f>
        <v>第44回 キャロットステークス データ(マスタ)</v>
      </c>
      <c r="B1" s="82"/>
      <c r="I1" s="263"/>
      <c r="J1" s="263"/>
      <c r="K1" s="256"/>
      <c r="Q1" s="340" t="s">
        <v>1738</v>
      </c>
      <c r="AA1" s="170" t="s">
        <v>1739</v>
      </c>
    </row>
    <row r="2" spans="1:60" ht="20.25" thickBot="1" x14ac:dyDescent="0.45">
      <c r="H2" s="50"/>
      <c r="I2" s="82"/>
      <c r="J2" s="82"/>
      <c r="K2" s="50"/>
      <c r="L2" s="51"/>
      <c r="M2" s="51"/>
      <c r="N2" s="51"/>
      <c r="O2" s="294" t="s">
        <v>333</v>
      </c>
      <c r="P2" s="295"/>
      <c r="Q2" s="295"/>
      <c r="R2" s="296"/>
      <c r="S2" s="287"/>
      <c r="T2" s="50"/>
      <c r="U2" s="50"/>
      <c r="V2" s="270"/>
      <c r="W2" s="270"/>
      <c r="X2" s="297" t="s">
        <v>332</v>
      </c>
      <c r="Y2" s="298"/>
      <c r="Z2" s="298"/>
      <c r="AA2" s="298"/>
      <c r="AB2" s="298"/>
      <c r="AC2" s="299"/>
      <c r="AD2" s="319" t="s">
        <v>440</v>
      </c>
      <c r="AE2" s="300"/>
      <c r="AF2" s="69" t="s">
        <v>394</v>
      </c>
      <c r="AG2" s="301"/>
      <c r="AH2" s="301"/>
      <c r="AI2" s="301"/>
      <c r="AJ2" s="302"/>
      <c r="AM2" s="170" t="s">
        <v>1716</v>
      </c>
      <c r="AN2" t="s">
        <v>1717</v>
      </c>
    </row>
    <row r="3" spans="1:60" ht="54" thickBot="1" x14ac:dyDescent="0.45">
      <c r="A3" t="s">
        <v>1759</v>
      </c>
      <c r="D3" t="s">
        <v>1760</v>
      </c>
      <c r="H3" s="362" t="s">
        <v>1756</v>
      </c>
      <c r="I3" s="363" t="s">
        <v>16</v>
      </c>
      <c r="J3" s="363" t="s">
        <v>1758</v>
      </c>
      <c r="K3" s="364" t="s">
        <v>0</v>
      </c>
      <c r="L3" s="365" t="s">
        <v>250</v>
      </c>
      <c r="M3" s="365" t="s">
        <v>15</v>
      </c>
      <c r="N3" s="365" t="s">
        <v>390</v>
      </c>
      <c r="O3" s="366" t="s">
        <v>5</v>
      </c>
      <c r="P3" s="366" t="s">
        <v>6</v>
      </c>
      <c r="Q3" s="366" t="s">
        <v>92</v>
      </c>
      <c r="R3" s="366" t="s">
        <v>9</v>
      </c>
      <c r="S3" s="366" t="s">
        <v>17</v>
      </c>
      <c r="T3" s="367" t="s">
        <v>1756</v>
      </c>
      <c r="U3" s="367" t="s">
        <v>16</v>
      </c>
      <c r="V3" s="364" t="s">
        <v>155</v>
      </c>
      <c r="W3" s="364" t="s">
        <v>156</v>
      </c>
      <c r="X3" s="368" t="s">
        <v>5</v>
      </c>
      <c r="Y3" s="368" t="s">
        <v>6</v>
      </c>
      <c r="Z3" s="368" t="s">
        <v>4</v>
      </c>
      <c r="AA3" s="368" t="s">
        <v>3</v>
      </c>
      <c r="AB3" s="368" t="s">
        <v>2</v>
      </c>
      <c r="AC3" s="368" t="s">
        <v>331</v>
      </c>
      <c r="AD3" s="366" t="s">
        <v>118</v>
      </c>
      <c r="AE3" s="366" t="s">
        <v>393</v>
      </c>
      <c r="AF3" s="366" t="s">
        <v>417</v>
      </c>
      <c r="AG3" s="367" t="s">
        <v>406</v>
      </c>
      <c r="AH3" s="367" t="s">
        <v>369</v>
      </c>
      <c r="AI3" s="367" t="s">
        <v>370</v>
      </c>
      <c r="AJ3" s="367" t="s">
        <v>371</v>
      </c>
      <c r="AK3" s="369"/>
      <c r="AM3" s="324" t="s">
        <v>146</v>
      </c>
      <c r="AN3" s="325" t="s">
        <v>1714</v>
      </c>
      <c r="AO3" s="326" t="s">
        <v>1715</v>
      </c>
      <c r="AP3" s="326" t="str">
        <f>O3</f>
        <v>一般</v>
      </c>
      <c r="AQ3" s="326" t="str">
        <f t="shared" ref="AQ3:AT3" si="0">P3</f>
        <v>社馬連</v>
      </c>
      <c r="AR3" s="326" t="str">
        <f t="shared" si="0"/>
        <v>学生</v>
      </c>
      <c r="AS3" s="326" t="str">
        <f t="shared" si="0"/>
        <v>オープン</v>
      </c>
      <c r="AT3" s="326" t="str">
        <f t="shared" si="0"/>
        <v>備考</v>
      </c>
      <c r="AU3" s="326" t="str">
        <f>V3</f>
        <v>公
認</v>
      </c>
      <c r="AV3" s="326" t="str">
        <f t="shared" ref="AV3:BC3" si="1">W3</f>
        <v>O
p</v>
      </c>
      <c r="AW3" s="326" t="str">
        <f t="shared" si="1"/>
        <v>一般</v>
      </c>
      <c r="AX3" s="326" t="str">
        <f t="shared" si="1"/>
        <v>社馬連</v>
      </c>
      <c r="AY3" s="326" t="str">
        <f t="shared" si="1"/>
        <v>大学生</v>
      </c>
      <c r="AZ3" s="326" t="str">
        <f t="shared" si="1"/>
        <v>ジュニア</v>
      </c>
      <c r="BA3" s="326" t="str">
        <f t="shared" si="1"/>
        <v>チルドレン</v>
      </c>
      <c r="BB3" s="326" t="str">
        <f t="shared" si="1"/>
        <v>プロ</v>
      </c>
      <c r="BC3" s="326" t="str">
        <f t="shared" si="1"/>
        <v>区分</v>
      </c>
      <c r="BD3" s="326" t="str">
        <f>AF3</f>
        <v>アリーナ</v>
      </c>
      <c r="BE3" s="326" t="str">
        <f t="shared" ref="BE3:BH3" si="2">AG3</f>
        <v>審判
数</v>
      </c>
      <c r="BF3" s="326" t="str">
        <f>AH3</f>
        <v>1エントリ
競技時間(秒)</v>
      </c>
      <c r="BG3" s="326" t="str">
        <f t="shared" si="2"/>
        <v>エントリ間
入替時間(秒)</v>
      </c>
      <c r="BH3" s="326" t="str">
        <f t="shared" si="2"/>
        <v>連続
実施数</v>
      </c>
    </row>
    <row r="4" spans="1:60" x14ac:dyDescent="0.4">
      <c r="A4" s="360" t="s">
        <v>272</v>
      </c>
      <c r="B4" s="308"/>
      <c r="C4" s="308">
        <v>44</v>
      </c>
      <c r="D4" s="308"/>
      <c r="E4" s="308"/>
      <c r="F4" s="308"/>
      <c r="H4" s="303">
        <v>1</v>
      </c>
      <c r="I4" s="274" t="s">
        <v>153</v>
      </c>
      <c r="J4" s="274">
        <v>1</v>
      </c>
      <c r="K4" s="279" t="str">
        <f t="shared" ref="K4:K50" si="3">IF(H4&lt;&gt;"",VLOOKUP(J4,$B$6:$F$9,5,FALSE),"")</f>
        <v>9月29日(金)</v>
      </c>
      <c r="L4" s="310" t="str">
        <f>IF(M4&lt;&gt;"","("&amp;U4&amp;") "&amp;IF(N4&lt;&gt;"-",M4&amp;"("&amp;N4&amp;")",M4),"")</f>
        <v>(A) フレンドシップ60</v>
      </c>
      <c r="M4" s="275" t="s">
        <v>1766</v>
      </c>
      <c r="N4" s="282" t="s">
        <v>162</v>
      </c>
      <c r="O4" s="286">
        <v>6000</v>
      </c>
      <c r="P4" s="286">
        <v>5000</v>
      </c>
      <c r="Q4" s="286">
        <v>5000</v>
      </c>
      <c r="R4" s="286" t="s">
        <v>162</v>
      </c>
      <c r="S4" s="276"/>
      <c r="T4" s="274">
        <f t="shared" ref="T4:T49" si="4">H4</f>
        <v>1</v>
      </c>
      <c r="U4" s="274" t="str">
        <f t="shared" ref="U4:U49" si="5">I4</f>
        <v>A</v>
      </c>
      <c r="V4" s="274" t="s">
        <v>12</v>
      </c>
      <c r="W4" s="274" t="s">
        <v>12</v>
      </c>
      <c r="X4" s="274">
        <v>1</v>
      </c>
      <c r="Y4" s="274">
        <v>1</v>
      </c>
      <c r="Z4" s="274">
        <v>1</v>
      </c>
      <c r="AA4" s="274">
        <v>1</v>
      </c>
      <c r="AB4" s="274">
        <v>1</v>
      </c>
      <c r="AC4" s="274">
        <v>1</v>
      </c>
      <c r="AD4" s="276" t="s">
        <v>384</v>
      </c>
      <c r="AE4" s="276" t="str">
        <f>IF(AD4&lt;&gt;"",VLOOKUP(AD4,リスト!$R$12:$S$18,2,FALSE),"")</f>
        <v>リスト!$J$2:$J$4</v>
      </c>
      <c r="AF4" s="276" t="s">
        <v>409</v>
      </c>
      <c r="AG4" s="306">
        <v>2</v>
      </c>
      <c r="AH4" s="306">
        <v>60</v>
      </c>
      <c r="AI4" s="306">
        <v>20</v>
      </c>
      <c r="AJ4" s="306">
        <v>0</v>
      </c>
      <c r="AK4" s="132"/>
      <c r="AM4" s="327" t="str">
        <f>$M4&amp;$N4</f>
        <v>フレンドシップ60-</v>
      </c>
      <c r="AN4" s="44">
        <f t="shared" ref="AN4:AN33" si="6">ROW($AO$4)+AO4-1</f>
        <v>4</v>
      </c>
      <c r="AO4" s="44">
        <f>MATCH($AM4,$AM$4:$AM$51,0)</f>
        <v>1</v>
      </c>
      <c r="AP4" s="325" t="e" cm="1">
        <f t="array" aca="1" ref="AP4" ca="1">IF(INDIRECT(ADDRESS(ROW($AO$4)+$AO4-1,COLUMN(O$3)))=INDIRECT(ADDRESS(ROW(),COLUMN(O$3))),"","NG")</f>
        <v>#VALUE!</v>
      </c>
      <c r="AQ4" s="325" t="e" cm="1">
        <f t="array" aca="1" ref="AQ4" ca="1">IF(INDIRECT(ADDRESS(ROW($AO$4)+$AO4-1,COLUMN(P$3)))=INDIRECT(ADDRESS(ROW(),COLUMN(P$3))),"","NG")</f>
        <v>#VALUE!</v>
      </c>
      <c r="AR4" s="325" t="e" cm="1">
        <f t="array" aca="1" ref="AR4" ca="1">IF(INDIRECT(ADDRESS(ROW($AO$4)+$AO4-1,COLUMN(Q$3)))=INDIRECT(ADDRESS(ROW(),COLUMN(Q$3))),"","NG")</f>
        <v>#VALUE!</v>
      </c>
      <c r="AS4" s="325" t="e" cm="1">
        <f t="array" aca="1" ref="AS4" ca="1">IF(INDIRECT(ADDRESS(ROW($AO$4)+$AO4-1,COLUMN(R$3)))=INDIRECT(ADDRESS(ROW(),COLUMN(R$3))),"","NG")</f>
        <v>#VALUE!</v>
      </c>
      <c r="AT4" s="325" t="e" cm="1">
        <f t="array" aca="1" ref="AT4" ca="1">IF(INDIRECT(ADDRESS(ROW($AO$4)+$AO4-1,COLUMN(S$3)))=INDIRECT(ADDRESS(ROW(),COLUMN(S$3))),"","NG")</f>
        <v>#VALUE!</v>
      </c>
      <c r="AU4" s="325" t="e" cm="1">
        <f t="array" aca="1" ref="AU4" ca="1">IF(INDIRECT(ADDRESS(ROW($AO$4)+$AO4-1,COLUMN(V$3)))=INDIRECT(ADDRESS(ROW(),COLUMN(V$3))),"","NG")</f>
        <v>#VALUE!</v>
      </c>
      <c r="AV4" s="325" t="e" cm="1">
        <f t="array" aca="1" ref="AV4" ca="1">IF(INDIRECT(ADDRESS(ROW($AO$4)+$AO4-1,COLUMN(W$3)))=INDIRECT(ADDRESS(ROW(),COLUMN(W$3))),"","NG")</f>
        <v>#VALUE!</v>
      </c>
      <c r="AW4" s="325" t="e" cm="1">
        <f t="array" aca="1" ref="AW4" ca="1">IF(INDIRECT(ADDRESS(ROW($AO$4)+$AO4-1,COLUMN(X$3)))=INDIRECT(ADDRESS(ROW(),COLUMN(X$3))),"","NG")</f>
        <v>#VALUE!</v>
      </c>
      <c r="AX4" s="325" t="e" cm="1">
        <f t="array" aca="1" ref="AX4" ca="1">IF(INDIRECT(ADDRESS(ROW($AO$4)+$AO4-1,COLUMN(Y$3)))=INDIRECT(ADDRESS(ROW(),COLUMN(Y$3))),"","NG")</f>
        <v>#VALUE!</v>
      </c>
      <c r="AY4" s="325" t="e" cm="1">
        <f t="array" aca="1" ref="AY4" ca="1">IF(INDIRECT(ADDRESS(ROW($AO$4)+$AO4-1,COLUMN(Z$3)))=INDIRECT(ADDRESS(ROW(),COLUMN(Z$3))),"","NG")</f>
        <v>#VALUE!</v>
      </c>
      <c r="AZ4" s="325" t="e" cm="1">
        <f t="array" aca="1" ref="AZ4" ca="1">IF(INDIRECT(ADDRESS(ROW($AO$4)+$AO4-1,COLUMN(AA$3)))=INDIRECT(ADDRESS(ROW(),COLUMN(AA$3))),"","NG")</f>
        <v>#VALUE!</v>
      </c>
      <c r="BA4" s="325" t="e" cm="1">
        <f t="array" aca="1" ref="BA4" ca="1">IF(INDIRECT(ADDRESS(ROW($AO$4)+$AO4-1,COLUMN(AB$3)))=INDIRECT(ADDRESS(ROW(),COLUMN(AB$3))),"","NG")</f>
        <v>#VALUE!</v>
      </c>
      <c r="BB4" s="325" t="e" cm="1">
        <f t="array" aca="1" ref="BB4" ca="1">IF(INDIRECT(ADDRESS(ROW($AO$4)+$AO4-1,COLUMN(AC$3)))=INDIRECT(ADDRESS(ROW(),COLUMN(AC$3))),"","NG")</f>
        <v>#VALUE!</v>
      </c>
      <c r="BC4" s="325" t="e" cm="1">
        <f t="array" aca="1" ref="BC4" ca="1">IF(INDIRECT(ADDRESS(ROW($AO$4)+$AO4-1,COLUMN(AD$3)))=INDIRECT(ADDRESS(ROW(),COLUMN(AD$3))),"","NG")</f>
        <v>#VALUE!</v>
      </c>
      <c r="BD4" s="325" t="e" cm="1">
        <f t="array" aca="1" ref="BD4" ca="1">IF(INDIRECT(ADDRESS(ROW($AO$4)+$AO4-1,COLUMN(AF$3)))=INDIRECT(ADDRESS(ROW(),COLUMN(AF$3))),"","NG")</f>
        <v>#VALUE!</v>
      </c>
      <c r="BE4" s="325" t="e" cm="1">
        <f t="array" aca="1" ref="BE4" ca="1">IF(INDIRECT(ADDRESS(ROW($AO$4)+$AO4-1,COLUMN(AG$3)))=INDIRECT(ADDRESS(ROW(),COLUMN(AG$3))),"","NG")</f>
        <v>#VALUE!</v>
      </c>
      <c r="BF4" s="325" t="e" cm="1">
        <f t="array" aca="1" ref="BF4" ca="1">IF(INDIRECT(ADDRESS(ROW($AO$4)+$AO4-1,COLUMN(AH$3)))=INDIRECT(ADDRESS(ROW(),COLUMN(AH$3))),"","NG")</f>
        <v>#VALUE!</v>
      </c>
      <c r="BG4" s="325" t="e" cm="1">
        <f t="array" aca="1" ref="BG4" ca="1">IF(INDIRECT(ADDRESS(ROW($AO$4)+$AO4-1,COLUMN(AI$3)))=INDIRECT(ADDRESS(ROW(),COLUMN(AI$3))),"","NG")</f>
        <v>#VALUE!</v>
      </c>
      <c r="BH4" s="325" t="e" cm="1">
        <f t="array" aca="1" ref="BH4" ca="1">IF(INDIRECT(ADDRESS(ROW($AO$4)+$AO4-1,COLUMN(AJ$3)))=INDIRECT(ADDRESS(ROW(),COLUMN(AJ$3))),"","NG")</f>
        <v>#VALUE!</v>
      </c>
    </row>
    <row r="5" spans="1:60" x14ac:dyDescent="0.4">
      <c r="A5" s="338" t="s">
        <v>295</v>
      </c>
      <c r="B5" s="283"/>
      <c r="C5" s="308"/>
      <c r="D5" s="308"/>
      <c r="E5" s="308"/>
      <c r="F5" s="308"/>
      <c r="H5" s="305">
        <f t="shared" ref="H5:H50" si="7">IF(L5&lt;&gt;"",H4+1,"")</f>
        <v>2</v>
      </c>
      <c r="I5" s="80" t="s">
        <v>154</v>
      </c>
      <c r="J5" s="80">
        <v>1</v>
      </c>
      <c r="K5" s="277" t="str">
        <f t="shared" si="3"/>
        <v>9月29日(金)</v>
      </c>
      <c r="L5" s="312" t="str">
        <f t="shared" ref="L5:L50" si="8">IF(M5&lt;&gt;"","("&amp;U5&amp;") "&amp;IF(N5&lt;&gt;"-",M5&amp;"("&amp;N5&amp;")",M5),"")</f>
        <v>(B) フレンドシップ80</v>
      </c>
      <c r="M5" s="81" t="s">
        <v>1767</v>
      </c>
      <c r="N5" s="280" t="s">
        <v>8</v>
      </c>
      <c r="O5" s="283">
        <v>6000</v>
      </c>
      <c r="P5" s="283">
        <v>5000</v>
      </c>
      <c r="Q5" s="283">
        <v>5000</v>
      </c>
      <c r="R5" s="283" t="s">
        <v>8</v>
      </c>
      <c r="S5" s="271"/>
      <c r="T5" s="80">
        <f t="shared" si="4"/>
        <v>2</v>
      </c>
      <c r="U5" s="80" t="str">
        <f t="shared" si="5"/>
        <v>B</v>
      </c>
      <c r="V5" s="370" t="s">
        <v>12</v>
      </c>
      <c r="W5" s="370" t="s">
        <v>12</v>
      </c>
      <c r="X5" s="370">
        <v>1</v>
      </c>
      <c r="Y5" s="370">
        <v>1</v>
      </c>
      <c r="Z5" s="370">
        <v>1</v>
      </c>
      <c r="AA5" s="370">
        <v>1</v>
      </c>
      <c r="AB5" s="370">
        <v>1</v>
      </c>
      <c r="AC5" s="370">
        <v>1</v>
      </c>
      <c r="AD5" s="271" t="s">
        <v>384</v>
      </c>
      <c r="AE5" s="271" t="str">
        <f>IF(AD5&lt;&gt;"",VLOOKUP(AD5,リスト!$R$12:$S$18,2,FALSE),"")</f>
        <v>リスト!$J$2:$J$4</v>
      </c>
      <c r="AF5" s="271" t="s">
        <v>408</v>
      </c>
      <c r="AG5" s="308">
        <v>2</v>
      </c>
      <c r="AH5" s="308">
        <v>60</v>
      </c>
      <c r="AI5" s="308">
        <v>20</v>
      </c>
      <c r="AJ5" s="308">
        <v>0</v>
      </c>
      <c r="AK5" s="126"/>
      <c r="AM5" s="327" t="str">
        <f t="shared" ref="AM5:AM50" si="9">$M5&amp;$N5</f>
        <v>フレンドシップ80-</v>
      </c>
      <c r="AN5" s="44">
        <f t="shared" si="6"/>
        <v>5</v>
      </c>
      <c r="AO5" s="44">
        <f t="shared" ref="AO5:AO50" si="10">MATCH($AM5,$AM$4:$AM$51,0)</f>
        <v>2</v>
      </c>
      <c r="AP5" s="325" t="e" cm="1">
        <f t="array" aca="1" ref="AP5" ca="1">IF(INDIRECT(ADDRESS(ROW($AO$4)+$AO5-1,COLUMN(O$3)))=INDIRECT(ADDRESS(ROW(),COLUMN(O$3))),"","NG")</f>
        <v>#VALUE!</v>
      </c>
      <c r="AQ5" s="325" t="e" cm="1">
        <f t="array" aca="1" ref="AQ5" ca="1">IF(INDIRECT(ADDRESS(ROW($AO$4)+$AO5-1,COLUMN(P$3)))=INDIRECT(ADDRESS(ROW(),COLUMN(P$3))),"","NG")</f>
        <v>#VALUE!</v>
      </c>
      <c r="AR5" s="325" t="e" cm="1">
        <f t="array" aca="1" ref="AR5" ca="1">IF(INDIRECT(ADDRESS(ROW($AO$4)+$AO5-1,COLUMN(Q$3)))=INDIRECT(ADDRESS(ROW(),COLUMN(Q$3))),"","NG")</f>
        <v>#VALUE!</v>
      </c>
      <c r="AS5" s="325" t="e" cm="1">
        <f t="array" aca="1" ref="AS5" ca="1">IF(INDIRECT(ADDRESS(ROW($AO$4)+$AO5-1,COLUMN(R$3)))=INDIRECT(ADDRESS(ROW(),COLUMN(R$3))),"","NG")</f>
        <v>#VALUE!</v>
      </c>
      <c r="AT5" s="325" t="e" cm="1">
        <f t="array" aca="1" ref="AT5" ca="1">IF(INDIRECT(ADDRESS(ROW($AO$4)+$AO5-1,COLUMN(S$3)))=INDIRECT(ADDRESS(ROW(),COLUMN(S$3))),"","NG")</f>
        <v>#VALUE!</v>
      </c>
      <c r="AU5" s="325" t="e" cm="1">
        <f t="array" aca="1" ref="AU5" ca="1">IF(INDIRECT(ADDRESS(ROW($AO$4)+$AO5-1,COLUMN(V$3)))=INDIRECT(ADDRESS(ROW(),COLUMN(V$3))),"","NG")</f>
        <v>#VALUE!</v>
      </c>
      <c r="AV5" s="325" t="e" cm="1">
        <f t="array" aca="1" ref="AV5" ca="1">IF(INDIRECT(ADDRESS(ROW($AO$4)+$AO5-1,COLUMN(W$3)))=INDIRECT(ADDRESS(ROW(),COLUMN(W$3))),"","NG")</f>
        <v>#VALUE!</v>
      </c>
      <c r="AW5" s="325" t="e" cm="1">
        <f t="array" aca="1" ref="AW5" ca="1">IF(INDIRECT(ADDRESS(ROW($AO$4)+$AO5-1,COLUMN(X$3)))=INDIRECT(ADDRESS(ROW(),COLUMN(X$3))),"","NG")</f>
        <v>#VALUE!</v>
      </c>
      <c r="AX5" s="325" t="e" cm="1">
        <f t="array" aca="1" ref="AX5" ca="1">IF(INDIRECT(ADDRESS(ROW($AO$4)+$AO5-1,COLUMN(Y$3)))=INDIRECT(ADDRESS(ROW(),COLUMN(Y$3))),"","NG")</f>
        <v>#VALUE!</v>
      </c>
      <c r="AY5" s="325" t="e" cm="1">
        <f t="array" aca="1" ref="AY5" ca="1">IF(INDIRECT(ADDRESS(ROW($AO$4)+$AO5-1,COLUMN(Z$3)))=INDIRECT(ADDRESS(ROW(),COLUMN(Z$3))),"","NG")</f>
        <v>#VALUE!</v>
      </c>
      <c r="AZ5" s="325" t="e" cm="1">
        <f t="array" aca="1" ref="AZ5" ca="1">IF(INDIRECT(ADDRESS(ROW($AO$4)+$AO5-1,COLUMN(AA$3)))=INDIRECT(ADDRESS(ROW(),COLUMN(AA$3))),"","NG")</f>
        <v>#VALUE!</v>
      </c>
      <c r="BA5" s="325" t="e" cm="1">
        <f t="array" aca="1" ref="BA5" ca="1">IF(INDIRECT(ADDRESS(ROW($AO$4)+$AO5-1,COLUMN(AB$3)))=INDIRECT(ADDRESS(ROW(),COLUMN(AB$3))),"","NG")</f>
        <v>#VALUE!</v>
      </c>
      <c r="BB5" s="325" t="e" cm="1">
        <f t="array" aca="1" ref="BB5" ca="1">IF(INDIRECT(ADDRESS(ROW($AO$4)+$AO5-1,COLUMN(AC$3)))=INDIRECT(ADDRESS(ROW(),COLUMN(AC$3))),"","NG")</f>
        <v>#VALUE!</v>
      </c>
      <c r="BC5" s="325" t="e" cm="1">
        <f t="array" aca="1" ref="BC5" ca="1">IF(INDIRECT(ADDRESS(ROW($AO$4)+$AO5-1,COLUMN(AD$3)))=INDIRECT(ADDRESS(ROW(),COLUMN(AD$3))),"","NG")</f>
        <v>#VALUE!</v>
      </c>
      <c r="BD5" s="325" t="e" cm="1">
        <f t="array" aca="1" ref="BD5" ca="1">IF(INDIRECT(ADDRESS(ROW($AO$4)+$AO5-1,COLUMN(AF$3)))=INDIRECT(ADDRESS(ROW(),COLUMN(AF$3))),"","NG")</f>
        <v>#VALUE!</v>
      </c>
      <c r="BE5" s="325" t="e" cm="1">
        <f t="array" aca="1" ref="BE5" ca="1">IF(INDIRECT(ADDRESS(ROW($AO$4)+$AO5-1,COLUMN(AG$3)))=INDIRECT(ADDRESS(ROW(),COLUMN(AG$3))),"","NG")</f>
        <v>#VALUE!</v>
      </c>
      <c r="BF5" s="325" t="e" cm="1">
        <f t="array" aca="1" ref="BF5" ca="1">IF(INDIRECT(ADDRESS(ROW($AO$4)+$AO5-1,COLUMN(AH$3)))=INDIRECT(ADDRESS(ROW(),COLUMN(AH$3))),"","NG")</f>
        <v>#VALUE!</v>
      </c>
      <c r="BG5" s="325" t="e" cm="1">
        <f t="array" aca="1" ref="BG5" ca="1">IF(INDIRECT(ADDRESS(ROW($AO$4)+$AO5-1,COLUMN(AI$3)))=INDIRECT(ADDRESS(ROW(),COLUMN(AI$3))),"","NG")</f>
        <v>#VALUE!</v>
      </c>
      <c r="BH5" s="325" t="e" cm="1">
        <f t="array" aca="1" ref="BH5" ca="1">IF(INDIRECT(ADDRESS(ROW($AO$4)+$AO5-1,COLUMN(AJ$3)))=INDIRECT(ADDRESS(ROW(),COLUMN(AJ$3))),"","NG")</f>
        <v>#VALUE!</v>
      </c>
    </row>
    <row r="6" spans="1:60" ht="19.5" thickBot="1" x14ac:dyDescent="0.45">
      <c r="A6" s="338" t="s">
        <v>1757</v>
      </c>
      <c r="B6" s="283">
        <v>1</v>
      </c>
      <c r="C6" s="337">
        <v>45198</v>
      </c>
      <c r="D6" s="339" t="str">
        <f>TEXT(C6,"yyyy年m月d日(aaa)")</f>
        <v>2023年9月29日(金)</v>
      </c>
      <c r="E6" s="339" t="str">
        <f>TEXT(C6,"yyyy年")</f>
        <v>2023年</v>
      </c>
      <c r="F6" s="339" t="str">
        <f>TEXT(C6,"m月d日(aaa)")</f>
        <v>9月29日(金)</v>
      </c>
      <c r="H6" s="304">
        <f t="shared" ref="H6" si="11">IF(L6&lt;&gt;"",H5+1,"")</f>
        <v>3</v>
      </c>
      <c r="I6" s="179" t="s">
        <v>1765</v>
      </c>
      <c r="J6" s="179">
        <v>1</v>
      </c>
      <c r="K6" s="278" t="str">
        <f t="shared" si="3"/>
        <v>9月29日(金)</v>
      </c>
      <c r="L6" s="311" t="str">
        <f t="shared" ref="L6" si="12">IF(M6&lt;&gt;"","("&amp;U6&amp;") "&amp;IF(N6&lt;&gt;"-",M6&amp;"("&amp;N6&amp;")",M6),"")</f>
        <v>(C) フレンドシップ100</v>
      </c>
      <c r="M6" s="272" t="s">
        <v>1768</v>
      </c>
      <c r="N6" s="281" t="s">
        <v>8</v>
      </c>
      <c r="O6" s="284">
        <v>6000</v>
      </c>
      <c r="P6" s="284">
        <v>5000</v>
      </c>
      <c r="Q6" s="284">
        <v>5000</v>
      </c>
      <c r="R6" s="284" t="s">
        <v>8</v>
      </c>
      <c r="S6" s="273"/>
      <c r="T6" s="179">
        <f t="shared" ref="T6" si="13">H6</f>
        <v>3</v>
      </c>
      <c r="U6" s="179" t="str">
        <f t="shared" ref="U6" si="14">I6</f>
        <v>C</v>
      </c>
      <c r="V6" s="168" t="s">
        <v>12</v>
      </c>
      <c r="W6" s="168" t="s">
        <v>12</v>
      </c>
      <c r="X6" s="168">
        <v>1</v>
      </c>
      <c r="Y6" s="168">
        <v>1</v>
      </c>
      <c r="Z6" s="168">
        <v>1</v>
      </c>
      <c r="AA6" s="168">
        <v>1</v>
      </c>
      <c r="AB6" s="168">
        <v>1</v>
      </c>
      <c r="AC6" s="168">
        <v>1</v>
      </c>
      <c r="AD6" s="273" t="s">
        <v>384</v>
      </c>
      <c r="AE6" s="273" t="str">
        <f>IF(AD6&lt;&gt;"",VLOOKUP(AD6,リスト!$R$12:$S$18,2,FALSE),"")</f>
        <v>リスト!$J$2:$J$4</v>
      </c>
      <c r="AF6" s="273" t="s">
        <v>1764</v>
      </c>
      <c r="AG6" s="307">
        <v>2</v>
      </c>
      <c r="AH6" s="307">
        <v>60</v>
      </c>
      <c r="AI6" s="307">
        <v>20</v>
      </c>
      <c r="AJ6" s="307">
        <v>0</v>
      </c>
      <c r="AK6" s="128"/>
      <c r="AM6" s="327" t="str">
        <f t="shared" si="9"/>
        <v>フレンドシップ100-</v>
      </c>
      <c r="AN6" s="44">
        <f t="shared" ref="AN6" si="15">ROW($AO$4)+AO6-1</f>
        <v>6</v>
      </c>
      <c r="AO6" s="44">
        <f t="shared" si="10"/>
        <v>3</v>
      </c>
      <c r="AP6" s="325" t="e" cm="1">
        <f t="array" aca="1" ref="AP6" ca="1">IF(INDIRECT(ADDRESS(ROW($AO$4)+$AO6-1,COLUMN(O$3)))=INDIRECT(ADDRESS(ROW(),COLUMN(O$3))),"","NG")</f>
        <v>#VALUE!</v>
      </c>
      <c r="AQ6" s="325" t="e" cm="1">
        <f t="array" aca="1" ref="AQ6" ca="1">IF(INDIRECT(ADDRESS(ROW($AO$4)+$AO6-1,COLUMN(P$3)))=INDIRECT(ADDRESS(ROW(),COLUMN(P$3))),"","NG")</f>
        <v>#VALUE!</v>
      </c>
      <c r="AR6" s="325" t="e" cm="1">
        <f t="array" aca="1" ref="AR6" ca="1">IF(INDIRECT(ADDRESS(ROW($AO$4)+$AO6-1,COLUMN(Q$3)))=INDIRECT(ADDRESS(ROW(),COLUMN(Q$3))),"","NG")</f>
        <v>#VALUE!</v>
      </c>
      <c r="AS6" s="325" t="e" cm="1">
        <f t="array" aca="1" ref="AS6" ca="1">IF(INDIRECT(ADDRESS(ROW($AO$4)+$AO6-1,COLUMN(R$3)))=INDIRECT(ADDRESS(ROW(),COLUMN(R$3))),"","NG")</f>
        <v>#VALUE!</v>
      </c>
      <c r="AT6" s="325" t="e" cm="1">
        <f t="array" aca="1" ref="AT6" ca="1">IF(INDIRECT(ADDRESS(ROW($AO$4)+$AO6-1,COLUMN(S$3)))=INDIRECT(ADDRESS(ROW(),COLUMN(S$3))),"","NG")</f>
        <v>#VALUE!</v>
      </c>
      <c r="AU6" s="325" t="e" cm="1">
        <f t="array" aca="1" ref="AU6" ca="1">IF(INDIRECT(ADDRESS(ROW($AO$4)+$AO6-1,COLUMN(V$3)))=INDIRECT(ADDRESS(ROW(),COLUMN(V$3))),"","NG")</f>
        <v>#VALUE!</v>
      </c>
      <c r="AV6" s="325" t="e" cm="1">
        <f t="array" aca="1" ref="AV6" ca="1">IF(INDIRECT(ADDRESS(ROW($AO$4)+$AO6-1,COLUMN(W$3)))=INDIRECT(ADDRESS(ROW(),COLUMN(W$3))),"","NG")</f>
        <v>#VALUE!</v>
      </c>
      <c r="AW6" s="325" t="e" cm="1">
        <f t="array" aca="1" ref="AW6" ca="1">IF(INDIRECT(ADDRESS(ROW($AO$4)+$AO6-1,COLUMN(X$3)))=INDIRECT(ADDRESS(ROW(),COLUMN(X$3))),"","NG")</f>
        <v>#VALUE!</v>
      </c>
      <c r="AX6" s="325" t="e" cm="1">
        <f t="array" aca="1" ref="AX6" ca="1">IF(INDIRECT(ADDRESS(ROW($AO$4)+$AO6-1,COLUMN(Y$3)))=INDIRECT(ADDRESS(ROW(),COLUMN(Y$3))),"","NG")</f>
        <v>#VALUE!</v>
      </c>
      <c r="AY6" s="325" t="e" cm="1">
        <f t="array" aca="1" ref="AY6" ca="1">IF(INDIRECT(ADDRESS(ROW($AO$4)+$AO6-1,COLUMN(Z$3)))=INDIRECT(ADDRESS(ROW(),COLUMN(Z$3))),"","NG")</f>
        <v>#VALUE!</v>
      </c>
      <c r="AZ6" s="325" t="e" cm="1">
        <f t="array" aca="1" ref="AZ6" ca="1">IF(INDIRECT(ADDRESS(ROW($AO$4)+$AO6-1,COLUMN(AA$3)))=INDIRECT(ADDRESS(ROW(),COLUMN(AA$3))),"","NG")</f>
        <v>#VALUE!</v>
      </c>
      <c r="BA6" s="325" t="e" cm="1">
        <f t="array" aca="1" ref="BA6" ca="1">IF(INDIRECT(ADDRESS(ROW($AO$4)+$AO6-1,COLUMN(AB$3)))=INDIRECT(ADDRESS(ROW(),COLUMN(AB$3))),"","NG")</f>
        <v>#VALUE!</v>
      </c>
      <c r="BB6" s="325" t="e" cm="1">
        <f t="array" aca="1" ref="BB6" ca="1">IF(INDIRECT(ADDRESS(ROW($AO$4)+$AO6-1,COLUMN(AC$3)))=INDIRECT(ADDRESS(ROW(),COLUMN(AC$3))),"","NG")</f>
        <v>#VALUE!</v>
      </c>
      <c r="BC6" s="325" t="e" cm="1">
        <f t="array" aca="1" ref="BC6" ca="1">IF(INDIRECT(ADDRESS(ROW($AO$4)+$AO6-1,COLUMN(AD$3)))=INDIRECT(ADDRESS(ROW(),COLUMN(AD$3))),"","NG")</f>
        <v>#VALUE!</v>
      </c>
      <c r="BD6" s="325" t="e" cm="1">
        <f t="array" aca="1" ref="BD6" ca="1">IF(INDIRECT(ADDRESS(ROW($AO$4)+$AO6-1,COLUMN(AF$3)))=INDIRECT(ADDRESS(ROW(),COLUMN(AF$3))),"","NG")</f>
        <v>#VALUE!</v>
      </c>
      <c r="BE6" s="325" t="e" cm="1">
        <f t="array" aca="1" ref="BE6" ca="1">IF(INDIRECT(ADDRESS(ROW($AO$4)+$AO6-1,COLUMN(AG$3)))=INDIRECT(ADDRESS(ROW(),COLUMN(AG$3))),"","NG")</f>
        <v>#VALUE!</v>
      </c>
      <c r="BF6" s="325" t="e" cm="1">
        <f t="array" aca="1" ref="BF6" ca="1">IF(INDIRECT(ADDRESS(ROW($AO$4)+$AO6-1,COLUMN(AH$3)))=INDIRECT(ADDRESS(ROW(),COLUMN(AH$3))),"","NG")</f>
        <v>#VALUE!</v>
      </c>
      <c r="BG6" s="325" t="e" cm="1">
        <f t="array" aca="1" ref="BG6" ca="1">IF(INDIRECT(ADDRESS(ROW($AO$4)+$AO6-1,COLUMN(AI$3)))=INDIRECT(ADDRESS(ROW(),COLUMN(AI$3))),"","NG")</f>
        <v>#VALUE!</v>
      </c>
      <c r="BH6" s="325" t="e" cm="1">
        <f t="array" aca="1" ref="BH6" ca="1">IF(INDIRECT(ADDRESS(ROW($AO$4)+$AO6-1,COLUMN(AJ$3)))=INDIRECT(ADDRESS(ROW(),COLUMN(AJ$3))),"","NG")</f>
        <v>#VALUE!</v>
      </c>
    </row>
    <row r="7" spans="1:60" x14ac:dyDescent="0.4">
      <c r="A7" s="338" t="s">
        <v>1757</v>
      </c>
      <c r="B7" s="283">
        <v>2</v>
      </c>
      <c r="C7" s="337">
        <v>45199</v>
      </c>
      <c r="D7" s="339" t="str">
        <f>TEXT(C7,"yyyy年m月d日(aaa)")</f>
        <v>2023年9月30日(土)</v>
      </c>
      <c r="E7" s="339" t="str">
        <f>TEXT(C7,"yyyy年")</f>
        <v>2023年</v>
      </c>
      <c r="F7" s="339" t="str">
        <f>TEXT(C7,"m月d日(aaa)")</f>
        <v>9月30日(土)</v>
      </c>
      <c r="H7" s="303">
        <f>IF(L7&lt;&gt;"",H6+1,"")</f>
        <v>4</v>
      </c>
      <c r="I7" s="274">
        <v>1</v>
      </c>
      <c r="J7" s="274">
        <v>2</v>
      </c>
      <c r="K7" s="279" t="str">
        <f t="shared" si="3"/>
        <v>9月30日(土)</v>
      </c>
      <c r="L7" s="310" t="str">
        <f t="shared" si="8"/>
        <v>(1) 小障害 70cmクラス</v>
      </c>
      <c r="M7" s="275" t="s">
        <v>1769</v>
      </c>
      <c r="N7" s="282" t="s">
        <v>162</v>
      </c>
      <c r="O7" s="286">
        <v>9000</v>
      </c>
      <c r="P7" s="286">
        <v>7000</v>
      </c>
      <c r="Q7" s="286">
        <v>7000</v>
      </c>
      <c r="R7" s="286">
        <v>7000</v>
      </c>
      <c r="S7" s="276"/>
      <c r="T7" s="274">
        <f t="shared" si="4"/>
        <v>4</v>
      </c>
      <c r="U7" s="274">
        <f t="shared" si="5"/>
        <v>1</v>
      </c>
      <c r="V7" s="285" t="s">
        <v>12</v>
      </c>
      <c r="W7" s="285" t="s">
        <v>11</v>
      </c>
      <c r="X7" s="285">
        <v>1</v>
      </c>
      <c r="Y7" s="285">
        <v>1</v>
      </c>
      <c r="Z7" s="285">
        <v>1</v>
      </c>
      <c r="AA7" s="285">
        <v>1</v>
      </c>
      <c r="AB7" s="285">
        <v>1</v>
      </c>
      <c r="AC7" s="285">
        <v>1</v>
      </c>
      <c r="AD7" s="276" t="s">
        <v>251</v>
      </c>
      <c r="AE7" s="276" t="str">
        <f>IF(AD7&lt;&gt;"",VLOOKUP(AD7,リスト!$R$12:$S$18,2,FALSE),"")</f>
        <v>リスト!$J$2:$J$5</v>
      </c>
      <c r="AF7" s="276" t="s">
        <v>409</v>
      </c>
      <c r="AG7" s="306">
        <v>2</v>
      </c>
      <c r="AH7" s="306">
        <v>90</v>
      </c>
      <c r="AI7" s="306">
        <v>30</v>
      </c>
      <c r="AJ7" s="306">
        <v>0</v>
      </c>
      <c r="AK7" s="132"/>
      <c r="AM7" s="327" t="str">
        <f t="shared" si="9"/>
        <v>小障害 70cmクラス-</v>
      </c>
      <c r="AN7" s="44">
        <f t="shared" si="6"/>
        <v>7</v>
      </c>
      <c r="AO7" s="44">
        <f t="shared" si="10"/>
        <v>4</v>
      </c>
      <c r="AP7" s="325" t="e" cm="1">
        <f t="array" aca="1" ref="AP7" ca="1">IF(INDIRECT(ADDRESS(ROW($AO$4)+$AO7-1,COLUMN(O$3)))=INDIRECT(ADDRESS(ROW(),COLUMN(O$3))),"","NG")</f>
        <v>#VALUE!</v>
      </c>
      <c r="AQ7" s="325" t="e" cm="1">
        <f t="array" aca="1" ref="AQ7" ca="1">IF(INDIRECT(ADDRESS(ROW($AO$4)+$AO7-1,COLUMN(P$3)))=INDIRECT(ADDRESS(ROW(),COLUMN(P$3))),"","NG")</f>
        <v>#VALUE!</v>
      </c>
      <c r="AR7" s="325" t="e" cm="1">
        <f t="array" aca="1" ref="AR7" ca="1">IF(INDIRECT(ADDRESS(ROW($AO$4)+$AO7-1,COLUMN(Q$3)))=INDIRECT(ADDRESS(ROW(),COLUMN(Q$3))),"","NG")</f>
        <v>#VALUE!</v>
      </c>
      <c r="AS7" s="325" t="e" cm="1">
        <f t="array" aca="1" ref="AS7" ca="1">IF(INDIRECT(ADDRESS(ROW($AO$4)+$AO7-1,COLUMN(R$3)))=INDIRECT(ADDRESS(ROW(),COLUMN(R$3))),"","NG")</f>
        <v>#VALUE!</v>
      </c>
      <c r="AT7" s="325" t="e" cm="1">
        <f t="array" aca="1" ref="AT7" ca="1">IF(INDIRECT(ADDRESS(ROW($AO$4)+$AO7-1,COLUMN(S$3)))=INDIRECT(ADDRESS(ROW(),COLUMN(S$3))),"","NG")</f>
        <v>#VALUE!</v>
      </c>
      <c r="AU7" s="325" t="e" cm="1">
        <f t="array" aca="1" ref="AU7" ca="1">IF(INDIRECT(ADDRESS(ROW($AO$4)+$AO7-1,COLUMN(V$3)))=INDIRECT(ADDRESS(ROW(),COLUMN(V$3))),"","NG")</f>
        <v>#VALUE!</v>
      </c>
      <c r="AV7" s="325" t="e" cm="1">
        <f t="array" aca="1" ref="AV7" ca="1">IF(INDIRECT(ADDRESS(ROW($AO$4)+$AO7-1,COLUMN(W$3)))=INDIRECT(ADDRESS(ROW(),COLUMN(W$3))),"","NG")</f>
        <v>#VALUE!</v>
      </c>
      <c r="AW7" s="325" t="e" cm="1">
        <f t="array" aca="1" ref="AW7" ca="1">IF(INDIRECT(ADDRESS(ROW($AO$4)+$AO7-1,COLUMN(X$3)))=INDIRECT(ADDRESS(ROW(),COLUMN(X$3))),"","NG")</f>
        <v>#VALUE!</v>
      </c>
      <c r="AX7" s="325" t="e" cm="1">
        <f t="array" aca="1" ref="AX7" ca="1">IF(INDIRECT(ADDRESS(ROW($AO$4)+$AO7-1,COLUMN(Y$3)))=INDIRECT(ADDRESS(ROW(),COLUMN(Y$3))),"","NG")</f>
        <v>#VALUE!</v>
      </c>
      <c r="AY7" s="325" t="e" cm="1">
        <f t="array" aca="1" ref="AY7" ca="1">IF(INDIRECT(ADDRESS(ROW($AO$4)+$AO7-1,COLUMN(Z$3)))=INDIRECT(ADDRESS(ROW(),COLUMN(Z$3))),"","NG")</f>
        <v>#VALUE!</v>
      </c>
      <c r="AZ7" s="325" t="e" cm="1">
        <f t="array" aca="1" ref="AZ7" ca="1">IF(INDIRECT(ADDRESS(ROW($AO$4)+$AO7-1,COLUMN(AA$3)))=INDIRECT(ADDRESS(ROW(),COLUMN(AA$3))),"","NG")</f>
        <v>#VALUE!</v>
      </c>
      <c r="BA7" s="325" t="e" cm="1">
        <f t="array" aca="1" ref="BA7" ca="1">IF(INDIRECT(ADDRESS(ROW($AO$4)+$AO7-1,COLUMN(AB$3)))=INDIRECT(ADDRESS(ROW(),COLUMN(AB$3))),"","NG")</f>
        <v>#VALUE!</v>
      </c>
      <c r="BB7" s="325" t="e" cm="1">
        <f t="array" aca="1" ref="BB7" ca="1">IF(INDIRECT(ADDRESS(ROW($AO$4)+$AO7-1,COLUMN(AC$3)))=INDIRECT(ADDRESS(ROW(),COLUMN(AC$3))),"","NG")</f>
        <v>#VALUE!</v>
      </c>
      <c r="BC7" s="325" t="e" cm="1">
        <f t="array" aca="1" ref="BC7" ca="1">IF(INDIRECT(ADDRESS(ROW($AO$4)+$AO7-1,COLUMN(AD$3)))=INDIRECT(ADDRESS(ROW(),COLUMN(AD$3))),"","NG")</f>
        <v>#VALUE!</v>
      </c>
      <c r="BD7" s="325" t="e" cm="1">
        <f t="array" aca="1" ref="BD7" ca="1">IF(INDIRECT(ADDRESS(ROW($AO$4)+$AO7-1,COLUMN(AF$3)))=INDIRECT(ADDRESS(ROW(),COLUMN(AF$3))),"","NG")</f>
        <v>#VALUE!</v>
      </c>
      <c r="BE7" s="325" t="e" cm="1">
        <f t="array" aca="1" ref="BE7" ca="1">IF(INDIRECT(ADDRESS(ROW($AO$4)+$AO7-1,COLUMN(AG$3)))=INDIRECT(ADDRESS(ROW(),COLUMN(AG$3))),"","NG")</f>
        <v>#VALUE!</v>
      </c>
      <c r="BF7" s="325" t="e" cm="1">
        <f t="array" aca="1" ref="BF7" ca="1">IF(INDIRECT(ADDRESS(ROW($AO$4)+$AO7-1,COLUMN(AH$3)))=INDIRECT(ADDRESS(ROW(),COLUMN(AH$3))),"","NG")</f>
        <v>#VALUE!</v>
      </c>
      <c r="BG7" s="325" t="e" cm="1">
        <f t="array" aca="1" ref="BG7" ca="1">IF(INDIRECT(ADDRESS(ROW($AO$4)+$AO7-1,COLUMN(AI$3)))=INDIRECT(ADDRESS(ROW(),COLUMN(AI$3))),"","NG")</f>
        <v>#VALUE!</v>
      </c>
      <c r="BH7" s="325" t="e" cm="1">
        <f t="array" aca="1" ref="BH7" ca="1">IF(INDIRECT(ADDRESS(ROW($AO$4)+$AO7-1,COLUMN(AJ$3)))=INDIRECT(ADDRESS(ROW(),COLUMN(AJ$3))),"","NG")</f>
        <v>#VALUE!</v>
      </c>
    </row>
    <row r="8" spans="1:60" x14ac:dyDescent="0.4">
      <c r="A8" s="338" t="s">
        <v>1757</v>
      </c>
      <c r="B8" s="283">
        <v>3</v>
      </c>
      <c r="C8" s="337">
        <v>45200</v>
      </c>
      <c r="D8" s="339" t="str">
        <f>TEXT(C8,"yyyy年m月d日(aaa)")</f>
        <v>2023年10月1日(日)</v>
      </c>
      <c r="E8" s="339" t="str">
        <f>TEXT(C8,"yyyy年")</f>
        <v>2023年</v>
      </c>
      <c r="F8" s="339" t="str">
        <f>TEXT(C8,"m月d日(aaa)")</f>
        <v>10月1日(日)</v>
      </c>
      <c r="H8" s="305">
        <f t="shared" si="7"/>
        <v>5</v>
      </c>
      <c r="I8" s="80">
        <v>2</v>
      </c>
      <c r="J8" s="80">
        <v>2</v>
      </c>
      <c r="K8" s="277" t="str">
        <f t="shared" si="3"/>
        <v>9月30日(土)</v>
      </c>
      <c r="L8" s="312" t="str">
        <f t="shared" si="8"/>
        <v>(2) 小障害 80cmクラス</v>
      </c>
      <c r="M8" s="81" t="s">
        <v>1770</v>
      </c>
      <c r="N8" s="280" t="s">
        <v>162</v>
      </c>
      <c r="O8" s="283">
        <v>9000</v>
      </c>
      <c r="P8" s="283">
        <v>7000</v>
      </c>
      <c r="Q8" s="283">
        <v>7000</v>
      </c>
      <c r="R8" s="283">
        <v>7000</v>
      </c>
      <c r="S8" s="271"/>
      <c r="T8" s="80">
        <f t="shared" si="4"/>
        <v>5</v>
      </c>
      <c r="U8" s="80">
        <f t="shared" si="5"/>
        <v>2</v>
      </c>
      <c r="V8" s="80" t="s">
        <v>12</v>
      </c>
      <c r="W8" s="80" t="s">
        <v>12</v>
      </c>
      <c r="X8" s="80">
        <v>1</v>
      </c>
      <c r="Y8" s="80">
        <v>1</v>
      </c>
      <c r="Z8" s="80">
        <v>1</v>
      </c>
      <c r="AA8" s="80">
        <v>1</v>
      </c>
      <c r="AB8" s="80">
        <v>1</v>
      </c>
      <c r="AC8" s="80">
        <v>1</v>
      </c>
      <c r="AD8" s="271" t="s">
        <v>251</v>
      </c>
      <c r="AE8" s="271" t="str">
        <f>IF(AD8&lt;&gt;"",VLOOKUP(AD8,リスト!$R$12:$S$18,2,FALSE),"")</f>
        <v>リスト!$J$2:$J$5</v>
      </c>
      <c r="AF8" s="271" t="s">
        <v>409</v>
      </c>
      <c r="AG8" s="308">
        <v>2</v>
      </c>
      <c r="AH8" s="308">
        <v>90</v>
      </c>
      <c r="AI8" s="308">
        <v>30</v>
      </c>
      <c r="AJ8" s="308">
        <v>0</v>
      </c>
      <c r="AK8" s="126"/>
      <c r="AM8" s="327" t="str">
        <f t="shared" si="9"/>
        <v>小障害 80cmクラス-</v>
      </c>
      <c r="AN8" s="44">
        <f t="shared" si="6"/>
        <v>8</v>
      </c>
      <c r="AO8" s="44">
        <f t="shared" si="10"/>
        <v>5</v>
      </c>
      <c r="AP8" s="325" t="e" cm="1">
        <f t="array" aca="1" ref="AP8" ca="1">IF(INDIRECT(ADDRESS(ROW($AO$4)+$AO8-1,COLUMN(O$3)))=INDIRECT(ADDRESS(ROW(),COLUMN(O$3))),"","NG")</f>
        <v>#VALUE!</v>
      </c>
      <c r="AQ8" s="325" t="e" cm="1">
        <f t="array" aca="1" ref="AQ8" ca="1">IF(INDIRECT(ADDRESS(ROW($AO$4)+$AO8-1,COLUMN(P$3)))=INDIRECT(ADDRESS(ROW(),COLUMN(P$3))),"","NG")</f>
        <v>#VALUE!</v>
      </c>
      <c r="AR8" s="325" t="e" cm="1">
        <f t="array" aca="1" ref="AR8" ca="1">IF(INDIRECT(ADDRESS(ROW($AO$4)+$AO8-1,COLUMN(Q$3)))=INDIRECT(ADDRESS(ROW(),COLUMN(Q$3))),"","NG")</f>
        <v>#VALUE!</v>
      </c>
      <c r="AS8" s="325" t="e" cm="1">
        <f t="array" aca="1" ref="AS8" ca="1">IF(INDIRECT(ADDRESS(ROW($AO$4)+$AO8-1,COLUMN(R$3)))=INDIRECT(ADDRESS(ROW(),COLUMN(R$3))),"","NG")</f>
        <v>#VALUE!</v>
      </c>
      <c r="AT8" s="325" t="e" cm="1">
        <f t="array" aca="1" ref="AT8" ca="1">IF(INDIRECT(ADDRESS(ROW($AO$4)+$AO8-1,COLUMN(S$3)))=INDIRECT(ADDRESS(ROW(),COLUMN(S$3))),"","NG")</f>
        <v>#VALUE!</v>
      </c>
      <c r="AU8" s="325" t="e" cm="1">
        <f t="array" aca="1" ref="AU8" ca="1">IF(INDIRECT(ADDRESS(ROW($AO$4)+$AO8-1,COLUMN(V$3)))=INDIRECT(ADDRESS(ROW(),COLUMN(V$3))),"","NG")</f>
        <v>#VALUE!</v>
      </c>
      <c r="AV8" s="325" t="e" cm="1">
        <f t="array" aca="1" ref="AV8" ca="1">IF(INDIRECT(ADDRESS(ROW($AO$4)+$AO8-1,COLUMN(W$3)))=INDIRECT(ADDRESS(ROW(),COLUMN(W$3))),"","NG")</f>
        <v>#VALUE!</v>
      </c>
      <c r="AW8" s="325" t="e" cm="1">
        <f t="array" aca="1" ref="AW8" ca="1">IF(INDIRECT(ADDRESS(ROW($AO$4)+$AO8-1,COLUMN(X$3)))=INDIRECT(ADDRESS(ROW(),COLUMN(X$3))),"","NG")</f>
        <v>#VALUE!</v>
      </c>
      <c r="AX8" s="325" t="e" cm="1">
        <f t="array" aca="1" ref="AX8" ca="1">IF(INDIRECT(ADDRESS(ROW($AO$4)+$AO8-1,COLUMN(Y$3)))=INDIRECT(ADDRESS(ROW(),COLUMN(Y$3))),"","NG")</f>
        <v>#VALUE!</v>
      </c>
      <c r="AY8" s="325" t="e" cm="1">
        <f t="array" aca="1" ref="AY8" ca="1">IF(INDIRECT(ADDRESS(ROW($AO$4)+$AO8-1,COLUMN(Z$3)))=INDIRECT(ADDRESS(ROW(),COLUMN(Z$3))),"","NG")</f>
        <v>#VALUE!</v>
      </c>
      <c r="AZ8" s="325" t="e" cm="1">
        <f t="array" aca="1" ref="AZ8" ca="1">IF(INDIRECT(ADDRESS(ROW($AO$4)+$AO8-1,COLUMN(AA$3)))=INDIRECT(ADDRESS(ROW(),COLUMN(AA$3))),"","NG")</f>
        <v>#VALUE!</v>
      </c>
      <c r="BA8" s="325" t="e" cm="1">
        <f t="array" aca="1" ref="BA8" ca="1">IF(INDIRECT(ADDRESS(ROW($AO$4)+$AO8-1,COLUMN(AB$3)))=INDIRECT(ADDRESS(ROW(),COLUMN(AB$3))),"","NG")</f>
        <v>#VALUE!</v>
      </c>
      <c r="BB8" s="325" t="e" cm="1">
        <f t="array" aca="1" ref="BB8" ca="1">IF(INDIRECT(ADDRESS(ROW($AO$4)+$AO8-1,COLUMN(AC$3)))=INDIRECT(ADDRESS(ROW(),COLUMN(AC$3))),"","NG")</f>
        <v>#VALUE!</v>
      </c>
      <c r="BC8" s="325" t="e" cm="1">
        <f t="array" aca="1" ref="BC8" ca="1">IF(INDIRECT(ADDRESS(ROW($AO$4)+$AO8-1,COLUMN(AD$3)))=INDIRECT(ADDRESS(ROW(),COLUMN(AD$3))),"","NG")</f>
        <v>#VALUE!</v>
      </c>
      <c r="BD8" s="325" t="e" cm="1">
        <f t="array" aca="1" ref="BD8" ca="1">IF(INDIRECT(ADDRESS(ROW($AO$4)+$AO8-1,COLUMN(AF$3)))=INDIRECT(ADDRESS(ROW(),COLUMN(AF$3))),"","NG")</f>
        <v>#VALUE!</v>
      </c>
      <c r="BE8" s="325" t="e" cm="1">
        <f t="array" aca="1" ref="BE8" ca="1">IF(INDIRECT(ADDRESS(ROW($AO$4)+$AO8-1,COLUMN(AG$3)))=INDIRECT(ADDRESS(ROW(),COLUMN(AG$3))),"","NG")</f>
        <v>#VALUE!</v>
      </c>
      <c r="BF8" s="325" t="e" cm="1">
        <f t="array" aca="1" ref="BF8" ca="1">IF(INDIRECT(ADDRESS(ROW($AO$4)+$AO8-1,COLUMN(AH$3)))=INDIRECT(ADDRESS(ROW(),COLUMN(AH$3))),"","NG")</f>
        <v>#VALUE!</v>
      </c>
      <c r="BG8" s="325" t="e" cm="1">
        <f t="array" aca="1" ref="BG8" ca="1">IF(INDIRECT(ADDRESS(ROW($AO$4)+$AO8-1,COLUMN(AI$3)))=INDIRECT(ADDRESS(ROW(),COLUMN(AI$3))),"","NG")</f>
        <v>#VALUE!</v>
      </c>
      <c r="BH8" s="325" t="e" cm="1">
        <f t="array" aca="1" ref="BH8" ca="1">IF(INDIRECT(ADDRESS(ROW($AO$4)+$AO8-1,COLUMN(AJ$3)))=INDIRECT(ADDRESS(ROW(),COLUMN(AJ$3))),"","NG")</f>
        <v>#VALUE!</v>
      </c>
    </row>
    <row r="9" spans="1:60" x14ac:dyDescent="0.4">
      <c r="A9" s="338" t="s">
        <v>1757</v>
      </c>
      <c r="B9" s="283">
        <v>4</v>
      </c>
      <c r="C9" s="337"/>
      <c r="D9" s="339"/>
      <c r="E9" s="339"/>
      <c r="F9" s="339"/>
      <c r="H9" s="305">
        <f t="shared" si="7"/>
        <v>6</v>
      </c>
      <c r="I9" s="80">
        <v>3</v>
      </c>
      <c r="J9" s="80">
        <v>2</v>
      </c>
      <c r="K9" s="277" t="str">
        <f t="shared" si="3"/>
        <v>9月30日(土)</v>
      </c>
      <c r="L9" s="312" t="str">
        <f t="shared" si="8"/>
        <v>(3) 小障害 90cmクラス</v>
      </c>
      <c r="M9" s="81" t="s">
        <v>1771</v>
      </c>
      <c r="N9" s="280" t="s">
        <v>162</v>
      </c>
      <c r="O9" s="283">
        <v>11000</v>
      </c>
      <c r="P9" s="283">
        <v>9000</v>
      </c>
      <c r="Q9" s="283">
        <v>9000</v>
      </c>
      <c r="R9" s="283">
        <v>9000</v>
      </c>
      <c r="S9" s="271"/>
      <c r="T9" s="80">
        <f t="shared" si="4"/>
        <v>6</v>
      </c>
      <c r="U9" s="80">
        <f t="shared" si="5"/>
        <v>3</v>
      </c>
      <c r="V9" s="80" t="s">
        <v>12</v>
      </c>
      <c r="W9" s="80" t="s">
        <v>11</v>
      </c>
      <c r="X9" s="80">
        <v>1</v>
      </c>
      <c r="Y9" s="80">
        <v>1</v>
      </c>
      <c r="Z9" s="80">
        <v>1</v>
      </c>
      <c r="AA9" s="80">
        <v>1</v>
      </c>
      <c r="AB9" s="80">
        <v>1</v>
      </c>
      <c r="AC9" s="80">
        <v>1</v>
      </c>
      <c r="AD9" s="271" t="s">
        <v>251</v>
      </c>
      <c r="AE9" s="271" t="str">
        <f>IF(AD9&lt;&gt;"",VLOOKUP(AD9,リスト!$R$12:$S$18,2,FALSE),"")</f>
        <v>リスト!$J$2:$J$5</v>
      </c>
      <c r="AF9" s="271" t="s">
        <v>408</v>
      </c>
      <c r="AG9" s="308">
        <v>3</v>
      </c>
      <c r="AH9" s="308">
        <v>90</v>
      </c>
      <c r="AI9" s="308">
        <v>30</v>
      </c>
      <c r="AJ9" s="308">
        <v>0</v>
      </c>
      <c r="AK9" s="126"/>
      <c r="AM9" s="327" t="str">
        <f t="shared" si="9"/>
        <v>小障害 90cmクラス-</v>
      </c>
      <c r="AN9" s="44">
        <f t="shared" si="6"/>
        <v>9</v>
      </c>
      <c r="AO9" s="44">
        <f t="shared" si="10"/>
        <v>6</v>
      </c>
      <c r="AP9" s="325" t="e" cm="1">
        <f t="array" aca="1" ref="AP9" ca="1">IF(INDIRECT(ADDRESS(ROW($AO$4)+$AO9-1,COLUMN(O$3)))=INDIRECT(ADDRESS(ROW(),COLUMN(O$3))),"","NG")</f>
        <v>#VALUE!</v>
      </c>
      <c r="AQ9" s="325" t="e" cm="1">
        <f t="array" aca="1" ref="AQ9" ca="1">IF(INDIRECT(ADDRESS(ROW($AO$4)+$AO9-1,COLUMN(P$3)))=INDIRECT(ADDRESS(ROW(),COLUMN(P$3))),"","NG")</f>
        <v>#VALUE!</v>
      </c>
      <c r="AR9" s="325" t="e" cm="1">
        <f t="array" aca="1" ref="AR9" ca="1">IF(INDIRECT(ADDRESS(ROW($AO$4)+$AO9-1,COLUMN(Q$3)))=INDIRECT(ADDRESS(ROW(),COLUMN(Q$3))),"","NG")</f>
        <v>#VALUE!</v>
      </c>
      <c r="AS9" s="325" t="e" cm="1">
        <f t="array" aca="1" ref="AS9" ca="1">IF(INDIRECT(ADDRESS(ROW($AO$4)+$AO9-1,COLUMN(R$3)))=INDIRECT(ADDRESS(ROW(),COLUMN(R$3))),"","NG")</f>
        <v>#VALUE!</v>
      </c>
      <c r="AT9" s="325" t="e" cm="1">
        <f t="array" aca="1" ref="AT9" ca="1">IF(INDIRECT(ADDRESS(ROW($AO$4)+$AO9-1,COLUMN(S$3)))=INDIRECT(ADDRESS(ROW(),COLUMN(S$3))),"","NG")</f>
        <v>#VALUE!</v>
      </c>
      <c r="AU9" s="325" t="e" cm="1">
        <f t="array" aca="1" ref="AU9" ca="1">IF(INDIRECT(ADDRESS(ROW($AO$4)+$AO9-1,COLUMN(V$3)))=INDIRECT(ADDRESS(ROW(),COLUMN(V$3))),"","NG")</f>
        <v>#VALUE!</v>
      </c>
      <c r="AV9" s="325" t="e" cm="1">
        <f t="array" aca="1" ref="AV9" ca="1">IF(INDIRECT(ADDRESS(ROW($AO$4)+$AO9-1,COLUMN(W$3)))=INDIRECT(ADDRESS(ROW(),COLUMN(W$3))),"","NG")</f>
        <v>#VALUE!</v>
      </c>
      <c r="AW9" s="325" t="e" cm="1">
        <f t="array" aca="1" ref="AW9" ca="1">IF(INDIRECT(ADDRESS(ROW($AO$4)+$AO9-1,COLUMN(X$3)))=INDIRECT(ADDRESS(ROW(),COLUMN(X$3))),"","NG")</f>
        <v>#VALUE!</v>
      </c>
      <c r="AX9" s="325" t="e" cm="1">
        <f t="array" aca="1" ref="AX9" ca="1">IF(INDIRECT(ADDRESS(ROW($AO$4)+$AO9-1,COLUMN(Y$3)))=INDIRECT(ADDRESS(ROW(),COLUMN(Y$3))),"","NG")</f>
        <v>#VALUE!</v>
      </c>
      <c r="AY9" s="325" t="e" cm="1">
        <f t="array" aca="1" ref="AY9" ca="1">IF(INDIRECT(ADDRESS(ROW($AO$4)+$AO9-1,COLUMN(Z$3)))=INDIRECT(ADDRESS(ROW(),COLUMN(Z$3))),"","NG")</f>
        <v>#VALUE!</v>
      </c>
      <c r="AZ9" s="325" t="e" cm="1">
        <f t="array" aca="1" ref="AZ9" ca="1">IF(INDIRECT(ADDRESS(ROW($AO$4)+$AO9-1,COLUMN(AA$3)))=INDIRECT(ADDRESS(ROW(),COLUMN(AA$3))),"","NG")</f>
        <v>#VALUE!</v>
      </c>
      <c r="BA9" s="325" t="e" cm="1">
        <f t="array" aca="1" ref="BA9" ca="1">IF(INDIRECT(ADDRESS(ROW($AO$4)+$AO9-1,COLUMN(AB$3)))=INDIRECT(ADDRESS(ROW(),COLUMN(AB$3))),"","NG")</f>
        <v>#VALUE!</v>
      </c>
      <c r="BB9" s="325" t="e" cm="1">
        <f t="array" aca="1" ref="BB9" ca="1">IF(INDIRECT(ADDRESS(ROW($AO$4)+$AO9-1,COLUMN(AC$3)))=INDIRECT(ADDRESS(ROW(),COLUMN(AC$3))),"","NG")</f>
        <v>#VALUE!</v>
      </c>
      <c r="BC9" s="325" t="e" cm="1">
        <f t="array" aca="1" ref="BC9" ca="1">IF(INDIRECT(ADDRESS(ROW($AO$4)+$AO9-1,COLUMN(AD$3)))=INDIRECT(ADDRESS(ROW(),COLUMN(AD$3))),"","NG")</f>
        <v>#VALUE!</v>
      </c>
      <c r="BD9" s="325" t="e" cm="1">
        <f t="array" aca="1" ref="BD9" ca="1">IF(INDIRECT(ADDRESS(ROW($AO$4)+$AO9-1,COLUMN(AF$3)))=INDIRECT(ADDRESS(ROW(),COLUMN(AF$3))),"","NG")</f>
        <v>#VALUE!</v>
      </c>
      <c r="BE9" s="325" t="e" cm="1">
        <f t="array" aca="1" ref="BE9" ca="1">IF(INDIRECT(ADDRESS(ROW($AO$4)+$AO9-1,COLUMN(AG$3)))=INDIRECT(ADDRESS(ROW(),COLUMN(AG$3))),"","NG")</f>
        <v>#VALUE!</v>
      </c>
      <c r="BF9" s="325" t="e" cm="1">
        <f t="array" aca="1" ref="BF9" ca="1">IF(INDIRECT(ADDRESS(ROW($AO$4)+$AO9-1,COLUMN(AH$3)))=INDIRECT(ADDRESS(ROW(),COLUMN(AH$3))),"","NG")</f>
        <v>#VALUE!</v>
      </c>
      <c r="BG9" s="325" t="e" cm="1">
        <f t="array" aca="1" ref="BG9" ca="1">IF(INDIRECT(ADDRESS(ROW($AO$4)+$AO9-1,COLUMN(AI$3)))=INDIRECT(ADDRESS(ROW(),COLUMN(AI$3))),"","NG")</f>
        <v>#VALUE!</v>
      </c>
      <c r="BH9" s="325" t="e" cm="1">
        <f t="array" aca="1" ref="BH9" ca="1">IF(INDIRECT(ADDRESS(ROW($AO$4)+$AO9-1,COLUMN(AJ$3)))=INDIRECT(ADDRESS(ROW(),COLUMN(AJ$3))),"","NG")</f>
        <v>#VALUE!</v>
      </c>
    </row>
    <row r="10" spans="1:60" x14ac:dyDescent="0.4">
      <c r="A10" s="338" t="s">
        <v>296</v>
      </c>
      <c r="B10" s="283"/>
      <c r="C10" s="337">
        <v>45182</v>
      </c>
      <c r="D10" s="339" t="str">
        <f>TEXT(C10,"yyyy年m月d日(aaa)")</f>
        <v>2023年9月13日(水)</v>
      </c>
      <c r="E10" s="339" t="str">
        <f>TEXT(C10,"yyyy年")</f>
        <v>2023年</v>
      </c>
      <c r="F10" s="339" t="str">
        <f>TEXT(C10,"m月d日(aaa)")</f>
        <v>9月13日(水)</v>
      </c>
      <c r="H10" s="305">
        <f t="shared" si="7"/>
        <v>7</v>
      </c>
      <c r="I10" s="80">
        <v>4</v>
      </c>
      <c r="J10" s="80">
        <v>2</v>
      </c>
      <c r="K10" s="277" t="str">
        <f t="shared" si="3"/>
        <v>9月30日(土)</v>
      </c>
      <c r="L10" s="312" t="str">
        <f t="shared" si="8"/>
        <v>(4) 小障害100cmクラス</v>
      </c>
      <c r="M10" s="81" t="s">
        <v>157</v>
      </c>
      <c r="N10" s="280" t="s">
        <v>162</v>
      </c>
      <c r="O10" s="283">
        <v>11000</v>
      </c>
      <c r="P10" s="283">
        <v>9000</v>
      </c>
      <c r="Q10" s="283">
        <v>9000</v>
      </c>
      <c r="R10" s="283">
        <v>9000</v>
      </c>
      <c r="S10" s="271"/>
      <c r="T10" s="80">
        <f t="shared" si="4"/>
        <v>7</v>
      </c>
      <c r="U10" s="80">
        <f t="shared" si="5"/>
        <v>4</v>
      </c>
      <c r="V10" s="80" t="s">
        <v>12</v>
      </c>
      <c r="W10" s="80" t="s">
        <v>11</v>
      </c>
      <c r="X10" s="80">
        <v>1</v>
      </c>
      <c r="Y10" s="80">
        <v>1</v>
      </c>
      <c r="Z10" s="80">
        <v>1</v>
      </c>
      <c r="AA10" s="80">
        <v>1</v>
      </c>
      <c r="AB10" s="80">
        <v>1</v>
      </c>
      <c r="AC10" s="80">
        <v>1</v>
      </c>
      <c r="AD10" s="271" t="s">
        <v>251</v>
      </c>
      <c r="AE10" s="271" t="str">
        <f>IF(AD10&lt;&gt;"",VLOOKUP(AD10,リスト!$R$12:$S$18,2,FALSE),"")</f>
        <v>リスト!$J$2:$J$5</v>
      </c>
      <c r="AF10" s="271" t="s">
        <v>408</v>
      </c>
      <c r="AG10" s="308">
        <v>3</v>
      </c>
      <c r="AH10" s="308">
        <v>90</v>
      </c>
      <c r="AI10" s="308">
        <v>30</v>
      </c>
      <c r="AJ10" s="308">
        <v>0</v>
      </c>
      <c r="AK10" s="126"/>
      <c r="AM10" s="327" t="str">
        <f t="shared" si="9"/>
        <v>小障害100cmクラス-</v>
      </c>
      <c r="AN10" s="44">
        <f t="shared" si="6"/>
        <v>10</v>
      </c>
      <c r="AO10" s="44">
        <f t="shared" si="10"/>
        <v>7</v>
      </c>
      <c r="AP10" s="325" t="e" cm="1">
        <f t="array" aca="1" ref="AP10" ca="1">IF(INDIRECT(ADDRESS(ROW($AO$4)+$AO10-1,COLUMN(O$3)))=INDIRECT(ADDRESS(ROW(),COLUMN(O$3))),"","NG")</f>
        <v>#VALUE!</v>
      </c>
      <c r="AQ10" s="325" t="e" cm="1">
        <f t="array" aca="1" ref="AQ10" ca="1">IF(INDIRECT(ADDRESS(ROW($AO$4)+$AO10-1,COLUMN(P$3)))=INDIRECT(ADDRESS(ROW(),COLUMN(P$3))),"","NG")</f>
        <v>#VALUE!</v>
      </c>
      <c r="AR10" s="325" t="e" cm="1">
        <f t="array" aca="1" ref="AR10" ca="1">IF(INDIRECT(ADDRESS(ROW($AO$4)+$AO10-1,COLUMN(Q$3)))=INDIRECT(ADDRESS(ROW(),COLUMN(Q$3))),"","NG")</f>
        <v>#VALUE!</v>
      </c>
      <c r="AS10" s="325" t="e" cm="1">
        <f t="array" aca="1" ref="AS10" ca="1">IF(INDIRECT(ADDRESS(ROW($AO$4)+$AO10-1,COLUMN(R$3)))=INDIRECT(ADDRESS(ROW(),COLUMN(R$3))),"","NG")</f>
        <v>#VALUE!</v>
      </c>
      <c r="AT10" s="325" t="e" cm="1">
        <f t="array" aca="1" ref="AT10" ca="1">IF(INDIRECT(ADDRESS(ROW($AO$4)+$AO10-1,COLUMN(S$3)))=INDIRECT(ADDRESS(ROW(),COLUMN(S$3))),"","NG")</f>
        <v>#VALUE!</v>
      </c>
      <c r="AU10" s="325" t="e" cm="1">
        <f t="array" aca="1" ref="AU10" ca="1">IF(INDIRECT(ADDRESS(ROW($AO$4)+$AO10-1,COLUMN(V$3)))=INDIRECT(ADDRESS(ROW(),COLUMN(V$3))),"","NG")</f>
        <v>#VALUE!</v>
      </c>
      <c r="AV10" s="325" t="e" cm="1">
        <f t="array" aca="1" ref="AV10" ca="1">IF(INDIRECT(ADDRESS(ROW($AO$4)+$AO10-1,COLUMN(W$3)))=INDIRECT(ADDRESS(ROW(),COLUMN(W$3))),"","NG")</f>
        <v>#VALUE!</v>
      </c>
      <c r="AW10" s="325" t="e" cm="1">
        <f t="array" aca="1" ref="AW10" ca="1">IF(INDIRECT(ADDRESS(ROW($AO$4)+$AO10-1,COLUMN(X$3)))=INDIRECT(ADDRESS(ROW(),COLUMN(X$3))),"","NG")</f>
        <v>#VALUE!</v>
      </c>
      <c r="AX10" s="325" t="e" cm="1">
        <f t="array" aca="1" ref="AX10" ca="1">IF(INDIRECT(ADDRESS(ROW($AO$4)+$AO10-1,COLUMN(Y$3)))=INDIRECT(ADDRESS(ROW(),COLUMN(Y$3))),"","NG")</f>
        <v>#VALUE!</v>
      </c>
      <c r="AY10" s="325" t="e" cm="1">
        <f t="array" aca="1" ref="AY10" ca="1">IF(INDIRECT(ADDRESS(ROW($AO$4)+$AO10-1,COLUMN(Z$3)))=INDIRECT(ADDRESS(ROW(),COLUMN(Z$3))),"","NG")</f>
        <v>#VALUE!</v>
      </c>
      <c r="AZ10" s="325" t="e" cm="1">
        <f t="array" aca="1" ref="AZ10" ca="1">IF(INDIRECT(ADDRESS(ROW($AO$4)+$AO10-1,COLUMN(AA$3)))=INDIRECT(ADDRESS(ROW(),COLUMN(AA$3))),"","NG")</f>
        <v>#VALUE!</v>
      </c>
      <c r="BA10" s="325" t="e" cm="1">
        <f t="array" aca="1" ref="BA10" ca="1">IF(INDIRECT(ADDRESS(ROW($AO$4)+$AO10-1,COLUMN(AB$3)))=INDIRECT(ADDRESS(ROW(),COLUMN(AB$3))),"","NG")</f>
        <v>#VALUE!</v>
      </c>
      <c r="BB10" s="325" t="e" cm="1">
        <f t="array" aca="1" ref="BB10" ca="1">IF(INDIRECT(ADDRESS(ROW($AO$4)+$AO10-1,COLUMN(AC$3)))=INDIRECT(ADDRESS(ROW(),COLUMN(AC$3))),"","NG")</f>
        <v>#VALUE!</v>
      </c>
      <c r="BC10" s="325" t="e" cm="1">
        <f t="array" aca="1" ref="BC10" ca="1">IF(INDIRECT(ADDRESS(ROW($AO$4)+$AO10-1,COLUMN(AD$3)))=INDIRECT(ADDRESS(ROW(),COLUMN(AD$3))),"","NG")</f>
        <v>#VALUE!</v>
      </c>
      <c r="BD10" s="325" t="e" cm="1">
        <f t="array" aca="1" ref="BD10" ca="1">IF(INDIRECT(ADDRESS(ROW($AO$4)+$AO10-1,COLUMN(AF$3)))=INDIRECT(ADDRESS(ROW(),COLUMN(AF$3))),"","NG")</f>
        <v>#VALUE!</v>
      </c>
      <c r="BE10" s="325" t="e" cm="1">
        <f t="array" aca="1" ref="BE10" ca="1">IF(INDIRECT(ADDRESS(ROW($AO$4)+$AO10-1,COLUMN(AG$3)))=INDIRECT(ADDRESS(ROW(),COLUMN(AG$3))),"","NG")</f>
        <v>#VALUE!</v>
      </c>
      <c r="BF10" s="325" t="e" cm="1">
        <f t="array" aca="1" ref="BF10" ca="1">IF(INDIRECT(ADDRESS(ROW($AO$4)+$AO10-1,COLUMN(AH$3)))=INDIRECT(ADDRESS(ROW(),COLUMN(AH$3))),"","NG")</f>
        <v>#VALUE!</v>
      </c>
      <c r="BG10" s="325" t="e" cm="1">
        <f t="array" aca="1" ref="BG10" ca="1">IF(INDIRECT(ADDRESS(ROW($AO$4)+$AO10-1,COLUMN(AI$3)))=INDIRECT(ADDRESS(ROW(),COLUMN(AI$3))),"","NG")</f>
        <v>#VALUE!</v>
      </c>
      <c r="BH10" s="325" t="e" cm="1">
        <f t="array" aca="1" ref="BH10" ca="1">IF(INDIRECT(ADDRESS(ROW($AO$4)+$AO10-1,COLUMN(AJ$3)))=INDIRECT(ADDRESS(ROW(),COLUMN(AJ$3))),"","NG")</f>
        <v>#VALUE!</v>
      </c>
    </row>
    <row r="11" spans="1:60" x14ac:dyDescent="0.4">
      <c r="A11" s="338" t="s">
        <v>297</v>
      </c>
      <c r="B11" s="283"/>
      <c r="C11" s="337">
        <v>45183</v>
      </c>
      <c r="D11" s="339" t="str">
        <f>TEXT(C11,"yyyy年m月d日(aaa)")</f>
        <v>2023年9月14日(木)</v>
      </c>
      <c r="E11" s="339" t="str">
        <f>TEXT(C11,"yyyy年")</f>
        <v>2023年</v>
      </c>
      <c r="F11" s="339" t="str">
        <f>TEXT(C11,"m月d日(aaa)")</f>
        <v>9月14日(木)</v>
      </c>
      <c r="H11" s="305">
        <f t="shared" si="7"/>
        <v>8</v>
      </c>
      <c r="I11" s="80">
        <v>5</v>
      </c>
      <c r="J11" s="80">
        <v>2</v>
      </c>
      <c r="K11" s="277" t="str">
        <f t="shared" si="3"/>
        <v>9月30日(土)</v>
      </c>
      <c r="L11" s="312" t="str">
        <f t="shared" si="8"/>
        <v>(5) 中障害D 110cmクラス</v>
      </c>
      <c r="M11" s="81" t="s">
        <v>158</v>
      </c>
      <c r="N11" s="280" t="s">
        <v>162</v>
      </c>
      <c r="O11" s="283">
        <v>13000</v>
      </c>
      <c r="P11" s="283">
        <v>11000</v>
      </c>
      <c r="Q11" s="283">
        <v>11000</v>
      </c>
      <c r="R11" s="283">
        <v>11000</v>
      </c>
      <c r="S11" s="271"/>
      <c r="T11" s="80">
        <f t="shared" si="4"/>
        <v>8</v>
      </c>
      <c r="U11" s="80">
        <f t="shared" si="5"/>
        <v>5</v>
      </c>
      <c r="V11" s="80" t="s">
        <v>12</v>
      </c>
      <c r="W11" s="80" t="s">
        <v>11</v>
      </c>
      <c r="X11" s="80">
        <v>1</v>
      </c>
      <c r="Y11" s="80">
        <v>1</v>
      </c>
      <c r="Z11" s="80">
        <v>1</v>
      </c>
      <c r="AA11" s="80">
        <v>1</v>
      </c>
      <c r="AB11" s="80">
        <v>1</v>
      </c>
      <c r="AC11" s="80">
        <v>1</v>
      </c>
      <c r="AD11" s="271" t="s">
        <v>251</v>
      </c>
      <c r="AE11" s="271" t="str">
        <f>IF(AD11&lt;&gt;"",VLOOKUP(AD11,リスト!$R$12:$S$18,2,FALSE),"")</f>
        <v>リスト!$J$2:$J$5</v>
      </c>
      <c r="AF11" s="271" t="s">
        <v>408</v>
      </c>
      <c r="AG11" s="308">
        <v>3</v>
      </c>
      <c r="AH11" s="308">
        <v>90</v>
      </c>
      <c r="AI11" s="308">
        <v>30</v>
      </c>
      <c r="AJ11" s="308">
        <v>0</v>
      </c>
      <c r="AK11" s="126"/>
      <c r="AM11" s="327" t="str">
        <f t="shared" si="9"/>
        <v>中障害D 110cmクラス-</v>
      </c>
      <c r="AN11" s="44">
        <f t="shared" si="6"/>
        <v>11</v>
      </c>
      <c r="AO11" s="44">
        <f t="shared" si="10"/>
        <v>8</v>
      </c>
      <c r="AP11" s="325" t="e" cm="1">
        <f t="array" aca="1" ref="AP11" ca="1">IF(INDIRECT(ADDRESS(ROW($AO$4)+$AO11-1,COLUMN(O$3)))=INDIRECT(ADDRESS(ROW(),COLUMN(O$3))),"","NG")</f>
        <v>#VALUE!</v>
      </c>
      <c r="AQ11" s="325" t="e" cm="1">
        <f t="array" aca="1" ref="AQ11" ca="1">IF(INDIRECT(ADDRESS(ROW($AO$4)+$AO11-1,COLUMN(P$3)))=INDIRECT(ADDRESS(ROW(),COLUMN(P$3))),"","NG")</f>
        <v>#VALUE!</v>
      </c>
      <c r="AR11" s="325" t="e" cm="1">
        <f t="array" aca="1" ref="AR11" ca="1">IF(INDIRECT(ADDRESS(ROW($AO$4)+$AO11-1,COLUMN(Q$3)))=INDIRECT(ADDRESS(ROW(),COLUMN(Q$3))),"","NG")</f>
        <v>#VALUE!</v>
      </c>
      <c r="AS11" s="325" t="e" cm="1">
        <f t="array" aca="1" ref="AS11" ca="1">IF(INDIRECT(ADDRESS(ROW($AO$4)+$AO11-1,COLUMN(R$3)))=INDIRECT(ADDRESS(ROW(),COLUMN(R$3))),"","NG")</f>
        <v>#VALUE!</v>
      </c>
      <c r="AT11" s="325" t="e" cm="1">
        <f t="array" aca="1" ref="AT11" ca="1">IF(INDIRECT(ADDRESS(ROW($AO$4)+$AO11-1,COLUMN(S$3)))=INDIRECT(ADDRESS(ROW(),COLUMN(S$3))),"","NG")</f>
        <v>#VALUE!</v>
      </c>
      <c r="AU11" s="325" t="e" cm="1">
        <f t="array" aca="1" ref="AU11" ca="1">IF(INDIRECT(ADDRESS(ROW($AO$4)+$AO11-1,COLUMN(V$3)))=INDIRECT(ADDRESS(ROW(),COLUMN(V$3))),"","NG")</f>
        <v>#VALUE!</v>
      </c>
      <c r="AV11" s="325" t="e" cm="1">
        <f t="array" aca="1" ref="AV11" ca="1">IF(INDIRECT(ADDRESS(ROW($AO$4)+$AO11-1,COLUMN(W$3)))=INDIRECT(ADDRESS(ROW(),COLUMN(W$3))),"","NG")</f>
        <v>#VALUE!</v>
      </c>
      <c r="AW11" s="325" t="e" cm="1">
        <f t="array" aca="1" ref="AW11" ca="1">IF(INDIRECT(ADDRESS(ROW($AO$4)+$AO11-1,COLUMN(X$3)))=INDIRECT(ADDRESS(ROW(),COLUMN(X$3))),"","NG")</f>
        <v>#VALUE!</v>
      </c>
      <c r="AX11" s="325" t="e" cm="1">
        <f t="array" aca="1" ref="AX11" ca="1">IF(INDIRECT(ADDRESS(ROW($AO$4)+$AO11-1,COLUMN(Y$3)))=INDIRECT(ADDRESS(ROW(),COLUMN(Y$3))),"","NG")</f>
        <v>#VALUE!</v>
      </c>
      <c r="AY11" s="325" t="e" cm="1">
        <f t="array" aca="1" ref="AY11" ca="1">IF(INDIRECT(ADDRESS(ROW($AO$4)+$AO11-1,COLUMN(Z$3)))=INDIRECT(ADDRESS(ROW(),COLUMN(Z$3))),"","NG")</f>
        <v>#VALUE!</v>
      </c>
      <c r="AZ11" s="325" t="e" cm="1">
        <f t="array" aca="1" ref="AZ11" ca="1">IF(INDIRECT(ADDRESS(ROW($AO$4)+$AO11-1,COLUMN(AA$3)))=INDIRECT(ADDRESS(ROW(),COLUMN(AA$3))),"","NG")</f>
        <v>#VALUE!</v>
      </c>
      <c r="BA11" s="325" t="e" cm="1">
        <f t="array" aca="1" ref="BA11" ca="1">IF(INDIRECT(ADDRESS(ROW($AO$4)+$AO11-1,COLUMN(AB$3)))=INDIRECT(ADDRESS(ROW(),COLUMN(AB$3))),"","NG")</f>
        <v>#VALUE!</v>
      </c>
      <c r="BB11" s="325" t="e" cm="1">
        <f t="array" aca="1" ref="BB11" ca="1">IF(INDIRECT(ADDRESS(ROW($AO$4)+$AO11-1,COLUMN(AC$3)))=INDIRECT(ADDRESS(ROW(),COLUMN(AC$3))),"","NG")</f>
        <v>#VALUE!</v>
      </c>
      <c r="BC11" s="325" t="e" cm="1">
        <f t="array" aca="1" ref="BC11" ca="1">IF(INDIRECT(ADDRESS(ROW($AO$4)+$AO11-1,COLUMN(AD$3)))=INDIRECT(ADDRESS(ROW(),COLUMN(AD$3))),"","NG")</f>
        <v>#VALUE!</v>
      </c>
      <c r="BD11" s="325" t="e" cm="1">
        <f t="array" aca="1" ref="BD11" ca="1">IF(INDIRECT(ADDRESS(ROW($AO$4)+$AO11-1,COLUMN(AF$3)))=INDIRECT(ADDRESS(ROW(),COLUMN(AF$3))),"","NG")</f>
        <v>#VALUE!</v>
      </c>
      <c r="BE11" s="325" t="e" cm="1">
        <f t="array" aca="1" ref="BE11" ca="1">IF(INDIRECT(ADDRESS(ROW($AO$4)+$AO11-1,COLUMN(AG$3)))=INDIRECT(ADDRESS(ROW(),COLUMN(AG$3))),"","NG")</f>
        <v>#VALUE!</v>
      </c>
      <c r="BF11" s="325" t="e" cm="1">
        <f t="array" aca="1" ref="BF11" ca="1">IF(INDIRECT(ADDRESS(ROW($AO$4)+$AO11-1,COLUMN(AH$3)))=INDIRECT(ADDRESS(ROW(),COLUMN(AH$3))),"","NG")</f>
        <v>#VALUE!</v>
      </c>
      <c r="BG11" s="325" t="e" cm="1">
        <f t="array" aca="1" ref="BG11" ca="1">IF(INDIRECT(ADDRESS(ROW($AO$4)+$AO11-1,COLUMN(AI$3)))=INDIRECT(ADDRESS(ROW(),COLUMN(AI$3))),"","NG")</f>
        <v>#VALUE!</v>
      </c>
      <c r="BH11" s="325" t="e" cm="1">
        <f t="array" aca="1" ref="BH11" ca="1">IF(INDIRECT(ADDRESS(ROW($AO$4)+$AO11-1,COLUMN(AJ$3)))=INDIRECT(ADDRESS(ROW(),COLUMN(AJ$3))),"","NG")</f>
        <v>#VALUE!</v>
      </c>
    </row>
    <row r="12" spans="1:60" x14ac:dyDescent="0.4">
      <c r="A12" s="338" t="s">
        <v>298</v>
      </c>
      <c r="B12" s="283"/>
      <c r="C12" s="337">
        <v>45196</v>
      </c>
      <c r="D12" s="339" t="str">
        <f>TEXT(C12,"yyyy年m月d日(aaa)")</f>
        <v>2023年9月27日(水)</v>
      </c>
      <c r="E12" s="339" t="str">
        <f>TEXT(C12,"yyyy年")</f>
        <v>2023年</v>
      </c>
      <c r="F12" s="339" t="str">
        <f>TEXT(C12,"m月d日(aaa)")</f>
        <v>9月27日(水)</v>
      </c>
      <c r="H12" s="305">
        <f t="shared" si="7"/>
        <v>9</v>
      </c>
      <c r="I12" s="80">
        <v>6</v>
      </c>
      <c r="J12" s="80">
        <v>2</v>
      </c>
      <c r="K12" s="277" t="str">
        <f t="shared" si="3"/>
        <v>9月30日(土)</v>
      </c>
      <c r="L12" s="312" t="str">
        <f t="shared" si="8"/>
        <v>(6) ビギナーズジャンプ</v>
      </c>
      <c r="M12" s="81" t="s">
        <v>1772</v>
      </c>
      <c r="N12" s="280" t="s">
        <v>162</v>
      </c>
      <c r="O12" s="283">
        <v>7000</v>
      </c>
      <c r="P12" s="283">
        <v>6000</v>
      </c>
      <c r="Q12" s="283">
        <v>6000</v>
      </c>
      <c r="R12" s="283">
        <v>6000</v>
      </c>
      <c r="S12" s="271"/>
      <c r="T12" s="80">
        <f t="shared" si="4"/>
        <v>9</v>
      </c>
      <c r="U12" s="80">
        <f t="shared" si="5"/>
        <v>6</v>
      </c>
      <c r="V12" s="80" t="s">
        <v>12</v>
      </c>
      <c r="W12" s="80" t="s">
        <v>11</v>
      </c>
      <c r="X12" s="80">
        <v>1</v>
      </c>
      <c r="Y12" s="80">
        <v>1</v>
      </c>
      <c r="Z12" s="80">
        <v>1</v>
      </c>
      <c r="AA12" s="80">
        <v>1</v>
      </c>
      <c r="AB12" s="80">
        <v>1</v>
      </c>
      <c r="AC12" s="80">
        <v>1</v>
      </c>
      <c r="AD12" s="271" t="s">
        <v>251</v>
      </c>
      <c r="AE12" s="271" t="str">
        <f>IF(AD12&lt;&gt;"",VLOOKUP(AD12,リスト!$R$12:$S$18,2,FALSE),"")</f>
        <v>リスト!$J$2:$J$5</v>
      </c>
      <c r="AF12" s="271" t="s">
        <v>408</v>
      </c>
      <c r="AG12" s="308">
        <v>3</v>
      </c>
      <c r="AH12" s="308">
        <v>90</v>
      </c>
      <c r="AI12" s="308">
        <v>30</v>
      </c>
      <c r="AJ12" s="308">
        <v>0</v>
      </c>
      <c r="AK12" s="126"/>
      <c r="AM12" s="327" t="str">
        <f t="shared" si="9"/>
        <v>ビギナーズジャンプ-</v>
      </c>
      <c r="AN12" s="44">
        <f t="shared" si="6"/>
        <v>12</v>
      </c>
      <c r="AO12" s="44">
        <f t="shared" si="10"/>
        <v>9</v>
      </c>
      <c r="AP12" s="325" t="e" cm="1">
        <f t="array" aca="1" ref="AP12" ca="1">IF(INDIRECT(ADDRESS(ROW($AO$4)+$AO12-1,COLUMN(O$3)))=INDIRECT(ADDRESS(ROW(),COLUMN(O$3))),"","NG")</f>
        <v>#VALUE!</v>
      </c>
      <c r="AQ12" s="325" t="e" cm="1">
        <f t="array" aca="1" ref="AQ12" ca="1">IF(INDIRECT(ADDRESS(ROW($AO$4)+$AO12-1,COLUMN(P$3)))=INDIRECT(ADDRESS(ROW(),COLUMN(P$3))),"","NG")</f>
        <v>#VALUE!</v>
      </c>
      <c r="AR12" s="325" t="e" cm="1">
        <f t="array" aca="1" ref="AR12" ca="1">IF(INDIRECT(ADDRESS(ROW($AO$4)+$AO12-1,COLUMN(Q$3)))=INDIRECT(ADDRESS(ROW(),COLUMN(Q$3))),"","NG")</f>
        <v>#VALUE!</v>
      </c>
      <c r="AS12" s="325" t="e" cm="1">
        <f t="array" aca="1" ref="AS12" ca="1">IF(INDIRECT(ADDRESS(ROW($AO$4)+$AO12-1,COLUMN(R$3)))=INDIRECT(ADDRESS(ROW(),COLUMN(R$3))),"","NG")</f>
        <v>#VALUE!</v>
      </c>
      <c r="AT12" s="325" t="e" cm="1">
        <f t="array" aca="1" ref="AT12" ca="1">IF(INDIRECT(ADDRESS(ROW($AO$4)+$AO12-1,COLUMN(S$3)))=INDIRECT(ADDRESS(ROW(),COLUMN(S$3))),"","NG")</f>
        <v>#VALUE!</v>
      </c>
      <c r="AU12" s="325" t="e" cm="1">
        <f t="array" aca="1" ref="AU12" ca="1">IF(INDIRECT(ADDRESS(ROW($AO$4)+$AO12-1,COLUMN(V$3)))=INDIRECT(ADDRESS(ROW(),COLUMN(V$3))),"","NG")</f>
        <v>#VALUE!</v>
      </c>
      <c r="AV12" s="325" t="e" cm="1">
        <f t="array" aca="1" ref="AV12" ca="1">IF(INDIRECT(ADDRESS(ROW($AO$4)+$AO12-1,COLUMN(W$3)))=INDIRECT(ADDRESS(ROW(),COLUMN(W$3))),"","NG")</f>
        <v>#VALUE!</v>
      </c>
      <c r="AW12" s="325" t="e" cm="1">
        <f t="array" aca="1" ref="AW12" ca="1">IF(INDIRECT(ADDRESS(ROW($AO$4)+$AO12-1,COLUMN(X$3)))=INDIRECT(ADDRESS(ROW(),COLUMN(X$3))),"","NG")</f>
        <v>#VALUE!</v>
      </c>
      <c r="AX12" s="325" t="e" cm="1">
        <f t="array" aca="1" ref="AX12" ca="1">IF(INDIRECT(ADDRESS(ROW($AO$4)+$AO12-1,COLUMN(Y$3)))=INDIRECT(ADDRESS(ROW(),COLUMN(Y$3))),"","NG")</f>
        <v>#VALUE!</v>
      </c>
      <c r="AY12" s="325" t="e" cm="1">
        <f t="array" aca="1" ref="AY12" ca="1">IF(INDIRECT(ADDRESS(ROW($AO$4)+$AO12-1,COLUMN(Z$3)))=INDIRECT(ADDRESS(ROW(),COLUMN(Z$3))),"","NG")</f>
        <v>#VALUE!</v>
      </c>
      <c r="AZ12" s="325" t="e" cm="1">
        <f t="array" aca="1" ref="AZ12" ca="1">IF(INDIRECT(ADDRESS(ROW($AO$4)+$AO12-1,COLUMN(AA$3)))=INDIRECT(ADDRESS(ROW(),COLUMN(AA$3))),"","NG")</f>
        <v>#VALUE!</v>
      </c>
      <c r="BA12" s="325" t="e" cm="1">
        <f t="array" aca="1" ref="BA12" ca="1">IF(INDIRECT(ADDRESS(ROW($AO$4)+$AO12-1,COLUMN(AB$3)))=INDIRECT(ADDRESS(ROW(),COLUMN(AB$3))),"","NG")</f>
        <v>#VALUE!</v>
      </c>
      <c r="BB12" s="325" t="e" cm="1">
        <f t="array" aca="1" ref="BB12" ca="1">IF(INDIRECT(ADDRESS(ROW($AO$4)+$AO12-1,COLUMN(AC$3)))=INDIRECT(ADDRESS(ROW(),COLUMN(AC$3))),"","NG")</f>
        <v>#VALUE!</v>
      </c>
      <c r="BC12" s="325" t="e" cm="1">
        <f t="array" aca="1" ref="BC12" ca="1">IF(INDIRECT(ADDRESS(ROW($AO$4)+$AO12-1,COLUMN(AD$3)))=INDIRECT(ADDRESS(ROW(),COLUMN(AD$3))),"","NG")</f>
        <v>#VALUE!</v>
      </c>
      <c r="BD12" s="325" t="e" cm="1">
        <f t="array" aca="1" ref="BD12" ca="1">IF(INDIRECT(ADDRESS(ROW($AO$4)+$AO12-1,COLUMN(AF$3)))=INDIRECT(ADDRESS(ROW(),COLUMN(AF$3))),"","NG")</f>
        <v>#VALUE!</v>
      </c>
      <c r="BE12" s="325" t="e" cm="1">
        <f t="array" aca="1" ref="BE12" ca="1">IF(INDIRECT(ADDRESS(ROW($AO$4)+$AO12-1,COLUMN(AG$3)))=INDIRECT(ADDRESS(ROW(),COLUMN(AG$3))),"","NG")</f>
        <v>#VALUE!</v>
      </c>
      <c r="BF12" s="325" t="e" cm="1">
        <f t="array" aca="1" ref="BF12" ca="1">IF(INDIRECT(ADDRESS(ROW($AO$4)+$AO12-1,COLUMN(AH$3)))=INDIRECT(ADDRESS(ROW(),COLUMN(AH$3))),"","NG")</f>
        <v>#VALUE!</v>
      </c>
      <c r="BG12" s="325" t="e" cm="1">
        <f t="array" aca="1" ref="BG12" ca="1">IF(INDIRECT(ADDRESS(ROW($AO$4)+$AO12-1,COLUMN(AI$3)))=INDIRECT(ADDRESS(ROW(),COLUMN(AI$3))),"","NG")</f>
        <v>#VALUE!</v>
      </c>
      <c r="BH12" s="325" t="e" cm="1">
        <f t="array" aca="1" ref="BH12" ca="1">IF(INDIRECT(ADDRESS(ROW($AO$4)+$AO12-1,COLUMN(AJ$3)))=INDIRECT(ADDRESS(ROW(),COLUMN(AJ$3))),"","NG")</f>
        <v>#VALUE!</v>
      </c>
    </row>
    <row r="13" spans="1:60" x14ac:dyDescent="0.4">
      <c r="A13" s="338" t="s">
        <v>299</v>
      </c>
      <c r="B13" s="283"/>
      <c r="C13" s="337">
        <v>45198</v>
      </c>
      <c r="D13" s="339" t="str">
        <f>TEXT(C13,"yyyy年m月d日(aaa)")</f>
        <v>2023年9月29日(金)</v>
      </c>
      <c r="E13" s="339" t="str">
        <f>TEXT(C13,"yyyy年")</f>
        <v>2023年</v>
      </c>
      <c r="F13" s="339" t="str">
        <f>TEXT(C13,"m月d日(aaa)")</f>
        <v>9月29日(金)</v>
      </c>
      <c r="H13" s="305">
        <f t="shared" si="7"/>
        <v>10</v>
      </c>
      <c r="I13" s="80">
        <v>7</v>
      </c>
      <c r="J13" s="80">
        <v>2</v>
      </c>
      <c r="K13" s="277" t="str">
        <f t="shared" si="3"/>
        <v>9月30日(土)</v>
      </c>
      <c r="L13" s="312" t="str">
        <f t="shared" si="8"/>
        <v>(7) 小障害 60cmクラス</v>
      </c>
      <c r="M13" s="81" t="s">
        <v>1773</v>
      </c>
      <c r="N13" s="280" t="s">
        <v>162</v>
      </c>
      <c r="O13" s="283">
        <v>7000</v>
      </c>
      <c r="P13" s="283">
        <v>6000</v>
      </c>
      <c r="Q13" s="283">
        <v>6000</v>
      </c>
      <c r="R13" s="283">
        <v>6000</v>
      </c>
      <c r="S13" s="271"/>
      <c r="T13" s="80">
        <f t="shared" si="4"/>
        <v>10</v>
      </c>
      <c r="U13" s="80">
        <f t="shared" si="5"/>
        <v>7</v>
      </c>
      <c r="V13" s="80" t="s">
        <v>12</v>
      </c>
      <c r="W13" s="80" t="s">
        <v>11</v>
      </c>
      <c r="X13" s="80">
        <v>1</v>
      </c>
      <c r="Y13" s="80">
        <v>1</v>
      </c>
      <c r="Z13" s="80">
        <v>1</v>
      </c>
      <c r="AA13" s="80">
        <v>1</v>
      </c>
      <c r="AB13" s="80">
        <v>1</v>
      </c>
      <c r="AC13" s="80">
        <v>1</v>
      </c>
      <c r="AD13" s="271" t="s">
        <v>251</v>
      </c>
      <c r="AE13" s="271" t="str">
        <f>IF(AD13&lt;&gt;"",VLOOKUP(AD13,リスト!$R$12:$S$18,2,FALSE),"")</f>
        <v>リスト!$J$2:$J$5</v>
      </c>
      <c r="AF13" s="271" t="s">
        <v>408</v>
      </c>
      <c r="AG13" s="308">
        <v>3</v>
      </c>
      <c r="AH13" s="308">
        <v>90</v>
      </c>
      <c r="AI13" s="308">
        <v>30</v>
      </c>
      <c r="AJ13" s="308">
        <v>0</v>
      </c>
      <c r="AK13" s="126"/>
      <c r="AM13" s="327" t="str">
        <f t="shared" si="9"/>
        <v>小障害 60cmクラス-</v>
      </c>
      <c r="AN13" s="44">
        <f t="shared" si="6"/>
        <v>13</v>
      </c>
      <c r="AO13" s="44">
        <f t="shared" si="10"/>
        <v>10</v>
      </c>
      <c r="AP13" s="325" t="e" cm="1">
        <f t="array" aca="1" ref="AP13" ca="1">IF(INDIRECT(ADDRESS(ROW($AO$4)+$AO13-1,COLUMN(O$3)))=INDIRECT(ADDRESS(ROW(),COLUMN(O$3))),"","NG")</f>
        <v>#VALUE!</v>
      </c>
      <c r="AQ13" s="325" t="e" cm="1">
        <f t="array" aca="1" ref="AQ13" ca="1">IF(INDIRECT(ADDRESS(ROW($AO$4)+$AO13-1,COLUMN(P$3)))=INDIRECT(ADDRESS(ROW(),COLUMN(P$3))),"","NG")</f>
        <v>#VALUE!</v>
      </c>
      <c r="AR13" s="325" t="e" cm="1">
        <f t="array" aca="1" ref="AR13" ca="1">IF(INDIRECT(ADDRESS(ROW($AO$4)+$AO13-1,COLUMN(Q$3)))=INDIRECT(ADDRESS(ROW(),COLUMN(Q$3))),"","NG")</f>
        <v>#VALUE!</v>
      </c>
      <c r="AS13" s="325" t="e" cm="1">
        <f t="array" aca="1" ref="AS13" ca="1">IF(INDIRECT(ADDRESS(ROW($AO$4)+$AO13-1,COLUMN(R$3)))=INDIRECT(ADDRESS(ROW(),COLUMN(R$3))),"","NG")</f>
        <v>#VALUE!</v>
      </c>
      <c r="AT13" s="325" t="e" cm="1">
        <f t="array" aca="1" ref="AT13" ca="1">IF(INDIRECT(ADDRESS(ROW($AO$4)+$AO13-1,COLUMN(S$3)))=INDIRECT(ADDRESS(ROW(),COLUMN(S$3))),"","NG")</f>
        <v>#VALUE!</v>
      </c>
      <c r="AU13" s="325" t="e" cm="1">
        <f t="array" aca="1" ref="AU13" ca="1">IF(INDIRECT(ADDRESS(ROW($AO$4)+$AO13-1,COLUMN(V$3)))=INDIRECT(ADDRESS(ROW(),COLUMN(V$3))),"","NG")</f>
        <v>#VALUE!</v>
      </c>
      <c r="AV13" s="325" t="e" cm="1">
        <f t="array" aca="1" ref="AV13" ca="1">IF(INDIRECT(ADDRESS(ROW($AO$4)+$AO13-1,COLUMN(W$3)))=INDIRECT(ADDRESS(ROW(),COLUMN(W$3))),"","NG")</f>
        <v>#VALUE!</v>
      </c>
      <c r="AW13" s="325" t="e" cm="1">
        <f t="array" aca="1" ref="AW13" ca="1">IF(INDIRECT(ADDRESS(ROW($AO$4)+$AO13-1,COLUMN(X$3)))=INDIRECT(ADDRESS(ROW(),COLUMN(X$3))),"","NG")</f>
        <v>#VALUE!</v>
      </c>
      <c r="AX13" s="325" t="e" cm="1">
        <f t="array" aca="1" ref="AX13" ca="1">IF(INDIRECT(ADDRESS(ROW($AO$4)+$AO13-1,COLUMN(Y$3)))=INDIRECT(ADDRESS(ROW(),COLUMN(Y$3))),"","NG")</f>
        <v>#VALUE!</v>
      </c>
      <c r="AY13" s="325" t="e" cm="1">
        <f t="array" aca="1" ref="AY13" ca="1">IF(INDIRECT(ADDRESS(ROW($AO$4)+$AO13-1,COLUMN(Z$3)))=INDIRECT(ADDRESS(ROW(),COLUMN(Z$3))),"","NG")</f>
        <v>#VALUE!</v>
      </c>
      <c r="AZ13" s="325" t="e" cm="1">
        <f t="array" aca="1" ref="AZ13" ca="1">IF(INDIRECT(ADDRESS(ROW($AO$4)+$AO13-1,COLUMN(AA$3)))=INDIRECT(ADDRESS(ROW(),COLUMN(AA$3))),"","NG")</f>
        <v>#VALUE!</v>
      </c>
      <c r="BA13" s="325" t="e" cm="1">
        <f t="array" aca="1" ref="BA13" ca="1">IF(INDIRECT(ADDRESS(ROW($AO$4)+$AO13-1,COLUMN(AB$3)))=INDIRECT(ADDRESS(ROW(),COLUMN(AB$3))),"","NG")</f>
        <v>#VALUE!</v>
      </c>
      <c r="BB13" s="325" t="e" cm="1">
        <f t="array" aca="1" ref="BB13" ca="1">IF(INDIRECT(ADDRESS(ROW($AO$4)+$AO13-1,COLUMN(AC$3)))=INDIRECT(ADDRESS(ROW(),COLUMN(AC$3))),"","NG")</f>
        <v>#VALUE!</v>
      </c>
      <c r="BC13" s="325" t="e" cm="1">
        <f t="array" aca="1" ref="BC13" ca="1">IF(INDIRECT(ADDRESS(ROW($AO$4)+$AO13-1,COLUMN(AD$3)))=INDIRECT(ADDRESS(ROW(),COLUMN(AD$3))),"","NG")</f>
        <v>#VALUE!</v>
      </c>
      <c r="BD13" s="325" t="e" cm="1">
        <f t="array" aca="1" ref="BD13" ca="1">IF(INDIRECT(ADDRESS(ROW($AO$4)+$AO13-1,COLUMN(AF$3)))=INDIRECT(ADDRESS(ROW(),COLUMN(AF$3))),"","NG")</f>
        <v>#VALUE!</v>
      </c>
      <c r="BE13" s="325" t="e" cm="1">
        <f t="array" aca="1" ref="BE13" ca="1">IF(INDIRECT(ADDRESS(ROW($AO$4)+$AO13-1,COLUMN(AG$3)))=INDIRECT(ADDRESS(ROW(),COLUMN(AG$3))),"","NG")</f>
        <v>#VALUE!</v>
      </c>
      <c r="BF13" s="325" t="e" cm="1">
        <f t="array" aca="1" ref="BF13" ca="1">IF(INDIRECT(ADDRESS(ROW($AO$4)+$AO13-1,COLUMN(AH$3)))=INDIRECT(ADDRESS(ROW(),COLUMN(AH$3))),"","NG")</f>
        <v>#VALUE!</v>
      </c>
      <c r="BG13" s="325" t="e" cm="1">
        <f t="array" aca="1" ref="BG13" ca="1">IF(INDIRECT(ADDRESS(ROW($AO$4)+$AO13-1,COLUMN(AI$3)))=INDIRECT(ADDRESS(ROW(),COLUMN(AI$3))),"","NG")</f>
        <v>#VALUE!</v>
      </c>
      <c r="BH13" s="325" t="e" cm="1">
        <f t="array" aca="1" ref="BH13" ca="1">IF(INDIRECT(ADDRESS(ROW($AO$4)+$AO13-1,COLUMN(AJ$3)))=INDIRECT(ADDRESS(ROW(),COLUMN(AJ$3))),"","NG")</f>
        <v>#VALUE!</v>
      </c>
    </row>
    <row r="14" spans="1:60" x14ac:dyDescent="0.4">
      <c r="A14" s="336"/>
      <c r="B14" s="336"/>
      <c r="C14" s="46"/>
      <c r="D14" s="46"/>
      <c r="E14" s="46"/>
      <c r="F14" s="46"/>
      <c r="H14" s="305">
        <f t="shared" si="7"/>
        <v>11</v>
      </c>
      <c r="I14" s="80">
        <v>8</v>
      </c>
      <c r="J14" s="80">
        <v>2</v>
      </c>
      <c r="K14" s="277" t="str">
        <f t="shared" si="3"/>
        <v>9月30日(土)</v>
      </c>
      <c r="L14" s="312" t="str">
        <f t="shared" si="8"/>
        <v>(8) ジムカーナ(一般)</v>
      </c>
      <c r="M14" s="81" t="s">
        <v>1774</v>
      </c>
      <c r="N14" s="280" t="s">
        <v>1775</v>
      </c>
      <c r="O14" s="283">
        <v>7000</v>
      </c>
      <c r="P14" s="283">
        <v>6000</v>
      </c>
      <c r="Q14" s="283">
        <v>6000</v>
      </c>
      <c r="R14" s="283">
        <v>6000</v>
      </c>
      <c r="S14" s="271"/>
      <c r="T14" s="80">
        <f t="shared" si="4"/>
        <v>11</v>
      </c>
      <c r="U14" s="80">
        <f t="shared" si="5"/>
        <v>8</v>
      </c>
      <c r="V14" s="80" t="s">
        <v>12</v>
      </c>
      <c r="W14" s="80" t="s">
        <v>11</v>
      </c>
      <c r="X14" s="80">
        <v>1</v>
      </c>
      <c r="Y14" s="80">
        <v>1</v>
      </c>
      <c r="Z14" s="80">
        <v>1</v>
      </c>
      <c r="AA14" s="80">
        <v>1</v>
      </c>
      <c r="AB14" s="80">
        <v>1</v>
      </c>
      <c r="AC14" s="80">
        <v>1</v>
      </c>
      <c r="AD14" s="271" t="s">
        <v>251</v>
      </c>
      <c r="AE14" s="271" t="str">
        <f>IF(AD14&lt;&gt;"",VLOOKUP(AD14,リスト!$R$12:$S$18,2,FALSE),"")</f>
        <v>リスト!$J$2:$J$5</v>
      </c>
      <c r="AF14" s="271" t="s">
        <v>408</v>
      </c>
      <c r="AG14" s="308">
        <v>3</v>
      </c>
      <c r="AH14" s="308">
        <v>90</v>
      </c>
      <c r="AI14" s="308">
        <v>30</v>
      </c>
      <c r="AJ14" s="308">
        <v>0</v>
      </c>
      <c r="AK14" s="126"/>
      <c r="AM14" s="327" t="str">
        <f t="shared" si="9"/>
        <v>ジムカーナ一般</v>
      </c>
      <c r="AN14" s="44">
        <f t="shared" si="6"/>
        <v>14</v>
      </c>
      <c r="AO14" s="44">
        <f t="shared" si="10"/>
        <v>11</v>
      </c>
      <c r="AP14" s="325" t="e" cm="1">
        <f t="array" aca="1" ref="AP14" ca="1">IF(INDIRECT(ADDRESS(ROW($AO$4)+$AO14-1,COLUMN(O$3)))=INDIRECT(ADDRESS(ROW(),COLUMN(O$3))),"","NG")</f>
        <v>#VALUE!</v>
      </c>
      <c r="AQ14" s="325" t="e" cm="1">
        <f t="array" aca="1" ref="AQ14" ca="1">IF(INDIRECT(ADDRESS(ROW($AO$4)+$AO14-1,COLUMN(P$3)))=INDIRECT(ADDRESS(ROW(),COLUMN(P$3))),"","NG")</f>
        <v>#VALUE!</v>
      </c>
      <c r="AR14" s="325" t="e" cm="1">
        <f t="array" aca="1" ref="AR14" ca="1">IF(INDIRECT(ADDRESS(ROW($AO$4)+$AO14-1,COLUMN(Q$3)))=INDIRECT(ADDRESS(ROW(),COLUMN(Q$3))),"","NG")</f>
        <v>#VALUE!</v>
      </c>
      <c r="AS14" s="325" t="e" cm="1">
        <f t="array" aca="1" ref="AS14" ca="1">IF(INDIRECT(ADDRESS(ROW($AO$4)+$AO14-1,COLUMN(R$3)))=INDIRECT(ADDRESS(ROW(),COLUMN(R$3))),"","NG")</f>
        <v>#VALUE!</v>
      </c>
      <c r="AT14" s="325" t="e" cm="1">
        <f t="array" aca="1" ref="AT14" ca="1">IF(INDIRECT(ADDRESS(ROW($AO$4)+$AO14-1,COLUMN(S$3)))=INDIRECT(ADDRESS(ROW(),COLUMN(S$3))),"","NG")</f>
        <v>#VALUE!</v>
      </c>
      <c r="AU14" s="325" t="e" cm="1">
        <f t="array" aca="1" ref="AU14" ca="1">IF(INDIRECT(ADDRESS(ROW($AO$4)+$AO14-1,COLUMN(V$3)))=INDIRECT(ADDRESS(ROW(),COLUMN(V$3))),"","NG")</f>
        <v>#VALUE!</v>
      </c>
      <c r="AV14" s="325" t="e" cm="1">
        <f t="array" aca="1" ref="AV14" ca="1">IF(INDIRECT(ADDRESS(ROW($AO$4)+$AO14-1,COLUMN(W$3)))=INDIRECT(ADDRESS(ROW(),COLUMN(W$3))),"","NG")</f>
        <v>#VALUE!</v>
      </c>
      <c r="AW14" s="325" t="e" cm="1">
        <f t="array" aca="1" ref="AW14" ca="1">IF(INDIRECT(ADDRESS(ROW($AO$4)+$AO14-1,COLUMN(X$3)))=INDIRECT(ADDRESS(ROW(),COLUMN(X$3))),"","NG")</f>
        <v>#VALUE!</v>
      </c>
      <c r="AX14" s="325" t="e" cm="1">
        <f t="array" aca="1" ref="AX14" ca="1">IF(INDIRECT(ADDRESS(ROW($AO$4)+$AO14-1,COLUMN(Y$3)))=INDIRECT(ADDRESS(ROW(),COLUMN(Y$3))),"","NG")</f>
        <v>#VALUE!</v>
      </c>
      <c r="AY14" s="325" t="e" cm="1">
        <f t="array" aca="1" ref="AY14" ca="1">IF(INDIRECT(ADDRESS(ROW($AO$4)+$AO14-1,COLUMN(Z$3)))=INDIRECT(ADDRESS(ROW(),COLUMN(Z$3))),"","NG")</f>
        <v>#VALUE!</v>
      </c>
      <c r="AZ14" s="325" t="e" cm="1">
        <f t="array" aca="1" ref="AZ14" ca="1">IF(INDIRECT(ADDRESS(ROW($AO$4)+$AO14-1,COLUMN(AA$3)))=INDIRECT(ADDRESS(ROW(),COLUMN(AA$3))),"","NG")</f>
        <v>#VALUE!</v>
      </c>
      <c r="BA14" s="325" t="e" cm="1">
        <f t="array" aca="1" ref="BA14" ca="1">IF(INDIRECT(ADDRESS(ROW($AO$4)+$AO14-1,COLUMN(AB$3)))=INDIRECT(ADDRESS(ROW(),COLUMN(AB$3))),"","NG")</f>
        <v>#VALUE!</v>
      </c>
      <c r="BB14" s="325" t="e" cm="1">
        <f t="array" aca="1" ref="BB14" ca="1">IF(INDIRECT(ADDRESS(ROW($AO$4)+$AO14-1,COLUMN(AC$3)))=INDIRECT(ADDRESS(ROW(),COLUMN(AC$3))),"","NG")</f>
        <v>#VALUE!</v>
      </c>
      <c r="BC14" s="325" t="e" cm="1">
        <f t="array" aca="1" ref="BC14" ca="1">IF(INDIRECT(ADDRESS(ROW($AO$4)+$AO14-1,COLUMN(AD$3)))=INDIRECT(ADDRESS(ROW(),COLUMN(AD$3))),"","NG")</f>
        <v>#VALUE!</v>
      </c>
      <c r="BD14" s="325" t="e" cm="1">
        <f t="array" aca="1" ref="BD14" ca="1">IF(INDIRECT(ADDRESS(ROW($AO$4)+$AO14-1,COLUMN(AF$3)))=INDIRECT(ADDRESS(ROW(),COLUMN(AF$3))),"","NG")</f>
        <v>#VALUE!</v>
      </c>
      <c r="BE14" s="325" t="e" cm="1">
        <f t="array" aca="1" ref="BE14" ca="1">IF(INDIRECT(ADDRESS(ROW($AO$4)+$AO14-1,COLUMN(AG$3)))=INDIRECT(ADDRESS(ROW(),COLUMN(AG$3))),"","NG")</f>
        <v>#VALUE!</v>
      </c>
      <c r="BF14" s="325" t="e" cm="1">
        <f t="array" aca="1" ref="BF14" ca="1">IF(INDIRECT(ADDRESS(ROW($AO$4)+$AO14-1,COLUMN(AH$3)))=INDIRECT(ADDRESS(ROW(),COLUMN(AH$3))),"","NG")</f>
        <v>#VALUE!</v>
      </c>
      <c r="BG14" s="325" t="e" cm="1">
        <f t="array" aca="1" ref="BG14" ca="1">IF(INDIRECT(ADDRESS(ROW($AO$4)+$AO14-1,COLUMN(AI$3)))=INDIRECT(ADDRESS(ROW(),COLUMN(AI$3))),"","NG")</f>
        <v>#VALUE!</v>
      </c>
      <c r="BH14" s="325" t="e" cm="1">
        <f t="array" aca="1" ref="BH14" ca="1">IF(INDIRECT(ADDRESS(ROW($AO$4)+$AO14-1,COLUMN(AJ$3)))=INDIRECT(ADDRESS(ROW(),COLUMN(AJ$3))),"","NG")</f>
        <v>#VALUE!</v>
      </c>
    </row>
    <row r="15" spans="1:60" x14ac:dyDescent="0.4">
      <c r="A15" s="338" t="s">
        <v>233</v>
      </c>
      <c r="B15" s="338"/>
      <c r="C15" s="26">
        <v>12000</v>
      </c>
      <c r="D15" s="46"/>
      <c r="E15" s="46"/>
      <c r="F15" s="46"/>
      <c r="H15" s="305">
        <f t="shared" si="7"/>
        <v>12</v>
      </c>
      <c r="I15" s="80">
        <v>8</v>
      </c>
      <c r="J15" s="80">
        <v>2</v>
      </c>
      <c r="K15" s="277" t="str">
        <f t="shared" si="3"/>
        <v>9月30日(土)</v>
      </c>
      <c r="L15" s="312" t="str">
        <f t="shared" si="8"/>
        <v>(8) ジムカーナ(チルドレン)</v>
      </c>
      <c r="M15" s="81" t="s">
        <v>1774</v>
      </c>
      <c r="N15" s="280" t="s">
        <v>1</v>
      </c>
      <c r="O15" s="283" t="s">
        <v>8</v>
      </c>
      <c r="P15" s="283" t="s">
        <v>8</v>
      </c>
      <c r="Q15" s="283">
        <v>6000</v>
      </c>
      <c r="R15" s="283" t="s">
        <v>8</v>
      </c>
      <c r="S15" s="271" t="s">
        <v>94</v>
      </c>
      <c r="T15" s="80">
        <f t="shared" si="4"/>
        <v>12</v>
      </c>
      <c r="U15" s="80">
        <f t="shared" si="5"/>
        <v>8</v>
      </c>
      <c r="V15" s="80" t="s">
        <v>12</v>
      </c>
      <c r="W15" s="80" t="s">
        <v>11</v>
      </c>
      <c r="X15" s="80">
        <v>0</v>
      </c>
      <c r="Y15" s="80">
        <v>0</v>
      </c>
      <c r="Z15" s="80">
        <v>0</v>
      </c>
      <c r="AA15" s="80">
        <v>0</v>
      </c>
      <c r="AB15" s="80">
        <v>1</v>
      </c>
      <c r="AC15" s="80">
        <v>0</v>
      </c>
      <c r="AD15" s="271" t="s">
        <v>255</v>
      </c>
      <c r="AE15" s="271" t="str">
        <f>IF(AD15&lt;&gt;"",VLOOKUP(AD15,リスト!$R$12:$S$18,2,FALSE),"")</f>
        <v>リスト!$J$4:$J$4</v>
      </c>
      <c r="AF15" s="271" t="s">
        <v>408</v>
      </c>
      <c r="AG15" s="308">
        <v>3</v>
      </c>
      <c r="AH15" s="308">
        <v>90</v>
      </c>
      <c r="AI15" s="308">
        <v>30</v>
      </c>
      <c r="AJ15" s="308">
        <v>0</v>
      </c>
      <c r="AK15" s="126"/>
      <c r="AM15" s="327" t="str">
        <f t="shared" si="9"/>
        <v>ジムカーナチルドレン</v>
      </c>
      <c r="AN15" s="44">
        <f t="shared" si="6"/>
        <v>15</v>
      </c>
      <c r="AO15" s="44">
        <f t="shared" si="10"/>
        <v>12</v>
      </c>
      <c r="AP15" s="325" t="e" cm="1">
        <f t="array" aca="1" ref="AP15" ca="1">IF(INDIRECT(ADDRESS(ROW($AO$4)+$AO15-1,COLUMN(O$3)))=INDIRECT(ADDRESS(ROW(),COLUMN(O$3))),"","NG")</f>
        <v>#VALUE!</v>
      </c>
      <c r="AQ15" s="325" t="e" cm="1">
        <f t="array" aca="1" ref="AQ15" ca="1">IF(INDIRECT(ADDRESS(ROW($AO$4)+$AO15-1,COLUMN(P$3)))=INDIRECT(ADDRESS(ROW(),COLUMN(P$3))),"","NG")</f>
        <v>#VALUE!</v>
      </c>
      <c r="AR15" s="325" t="e" cm="1">
        <f t="array" aca="1" ref="AR15" ca="1">IF(INDIRECT(ADDRESS(ROW($AO$4)+$AO15-1,COLUMN(Q$3)))=INDIRECT(ADDRESS(ROW(),COLUMN(Q$3))),"","NG")</f>
        <v>#VALUE!</v>
      </c>
      <c r="AS15" s="325" t="e" cm="1">
        <f t="array" aca="1" ref="AS15" ca="1">IF(INDIRECT(ADDRESS(ROW($AO$4)+$AO15-1,COLUMN(R$3)))=INDIRECT(ADDRESS(ROW(),COLUMN(R$3))),"","NG")</f>
        <v>#VALUE!</v>
      </c>
      <c r="AT15" s="325" t="e" cm="1">
        <f t="array" aca="1" ref="AT15" ca="1">IF(INDIRECT(ADDRESS(ROW($AO$4)+$AO15-1,COLUMN(S$3)))=INDIRECT(ADDRESS(ROW(),COLUMN(S$3))),"","NG")</f>
        <v>#VALUE!</v>
      </c>
      <c r="AU15" s="325" t="e" cm="1">
        <f t="array" aca="1" ref="AU15" ca="1">IF(INDIRECT(ADDRESS(ROW($AO$4)+$AO15-1,COLUMN(V$3)))=INDIRECT(ADDRESS(ROW(),COLUMN(V$3))),"","NG")</f>
        <v>#VALUE!</v>
      </c>
      <c r="AV15" s="325" t="e" cm="1">
        <f t="array" aca="1" ref="AV15" ca="1">IF(INDIRECT(ADDRESS(ROW($AO$4)+$AO15-1,COLUMN(W$3)))=INDIRECT(ADDRESS(ROW(),COLUMN(W$3))),"","NG")</f>
        <v>#VALUE!</v>
      </c>
      <c r="AW15" s="325" t="e" cm="1">
        <f t="array" aca="1" ref="AW15" ca="1">IF(INDIRECT(ADDRESS(ROW($AO$4)+$AO15-1,COLUMN(X$3)))=INDIRECT(ADDRESS(ROW(),COLUMN(X$3))),"","NG")</f>
        <v>#VALUE!</v>
      </c>
      <c r="AX15" s="325" t="e" cm="1">
        <f t="array" aca="1" ref="AX15" ca="1">IF(INDIRECT(ADDRESS(ROW($AO$4)+$AO15-1,COLUMN(Y$3)))=INDIRECT(ADDRESS(ROW(),COLUMN(Y$3))),"","NG")</f>
        <v>#VALUE!</v>
      </c>
      <c r="AY15" s="325" t="e" cm="1">
        <f t="array" aca="1" ref="AY15" ca="1">IF(INDIRECT(ADDRESS(ROW($AO$4)+$AO15-1,COLUMN(Z$3)))=INDIRECT(ADDRESS(ROW(),COLUMN(Z$3))),"","NG")</f>
        <v>#VALUE!</v>
      </c>
      <c r="AZ15" s="325" t="e" cm="1">
        <f t="array" aca="1" ref="AZ15" ca="1">IF(INDIRECT(ADDRESS(ROW($AO$4)+$AO15-1,COLUMN(AA$3)))=INDIRECT(ADDRESS(ROW(),COLUMN(AA$3))),"","NG")</f>
        <v>#VALUE!</v>
      </c>
      <c r="BA15" s="325" t="e" cm="1">
        <f t="array" aca="1" ref="BA15" ca="1">IF(INDIRECT(ADDRESS(ROW($AO$4)+$AO15-1,COLUMN(AB$3)))=INDIRECT(ADDRESS(ROW(),COLUMN(AB$3))),"","NG")</f>
        <v>#VALUE!</v>
      </c>
      <c r="BB15" s="325" t="e" cm="1">
        <f t="array" aca="1" ref="BB15" ca="1">IF(INDIRECT(ADDRESS(ROW($AO$4)+$AO15-1,COLUMN(AC$3)))=INDIRECT(ADDRESS(ROW(),COLUMN(AC$3))),"","NG")</f>
        <v>#VALUE!</v>
      </c>
      <c r="BC15" s="325" t="e" cm="1">
        <f t="array" aca="1" ref="BC15" ca="1">IF(INDIRECT(ADDRESS(ROW($AO$4)+$AO15-1,COLUMN(AD$3)))=INDIRECT(ADDRESS(ROW(),COLUMN(AD$3))),"","NG")</f>
        <v>#VALUE!</v>
      </c>
      <c r="BD15" s="325" t="e" cm="1">
        <f t="array" aca="1" ref="BD15" ca="1">IF(INDIRECT(ADDRESS(ROW($AO$4)+$AO15-1,COLUMN(AF$3)))=INDIRECT(ADDRESS(ROW(),COLUMN(AF$3))),"","NG")</f>
        <v>#VALUE!</v>
      </c>
      <c r="BE15" s="325" t="e" cm="1">
        <f t="array" aca="1" ref="BE15" ca="1">IF(INDIRECT(ADDRESS(ROW($AO$4)+$AO15-1,COLUMN(AG$3)))=INDIRECT(ADDRESS(ROW(),COLUMN(AG$3))),"","NG")</f>
        <v>#VALUE!</v>
      </c>
      <c r="BF15" s="325" t="e" cm="1">
        <f t="array" aca="1" ref="BF15" ca="1">IF(INDIRECT(ADDRESS(ROW($AO$4)+$AO15-1,COLUMN(AH$3)))=INDIRECT(ADDRESS(ROW(),COLUMN(AH$3))),"","NG")</f>
        <v>#VALUE!</v>
      </c>
      <c r="BG15" s="325" t="e" cm="1">
        <f t="array" aca="1" ref="BG15" ca="1">IF(INDIRECT(ADDRESS(ROW($AO$4)+$AO15-1,COLUMN(AI$3)))=INDIRECT(ADDRESS(ROW(),COLUMN(AI$3))),"","NG")</f>
        <v>#VALUE!</v>
      </c>
      <c r="BH15" s="325" t="e" cm="1">
        <f t="array" aca="1" ref="BH15" ca="1">IF(INDIRECT(ADDRESS(ROW($AO$4)+$AO15-1,COLUMN(AJ$3)))=INDIRECT(ADDRESS(ROW(),COLUMN(AJ$3))),"","NG")</f>
        <v>#VALUE!</v>
      </c>
    </row>
    <row r="16" spans="1:60" x14ac:dyDescent="0.4">
      <c r="A16" s="338" t="s">
        <v>304</v>
      </c>
      <c r="B16" s="338"/>
      <c r="C16" s="26">
        <v>0</v>
      </c>
      <c r="D16" s="46"/>
      <c r="E16" s="46"/>
      <c r="F16" s="46"/>
      <c r="H16" s="305">
        <f t="shared" si="7"/>
        <v>13</v>
      </c>
      <c r="I16" s="80">
        <v>9</v>
      </c>
      <c r="J16" s="80">
        <v>2</v>
      </c>
      <c r="K16" s="277" t="str">
        <f t="shared" si="3"/>
        <v>9月30日(土)</v>
      </c>
      <c r="L16" s="312" t="str">
        <f t="shared" si="8"/>
        <v>(9) 第2課目C馬場馬術競技</v>
      </c>
      <c r="M16" s="81" t="s">
        <v>1776</v>
      </c>
      <c r="N16" s="280" t="s">
        <v>162</v>
      </c>
      <c r="O16" s="283">
        <v>10000</v>
      </c>
      <c r="P16" s="283">
        <v>8000</v>
      </c>
      <c r="Q16" s="283">
        <v>8000</v>
      </c>
      <c r="R16" s="283">
        <v>8000</v>
      </c>
      <c r="S16" s="271"/>
      <c r="T16" s="80">
        <f t="shared" si="4"/>
        <v>13</v>
      </c>
      <c r="U16" s="80">
        <f t="shared" si="5"/>
        <v>9</v>
      </c>
      <c r="V16" s="80" t="s">
        <v>12</v>
      </c>
      <c r="W16" s="80" t="s">
        <v>11</v>
      </c>
      <c r="X16" s="80">
        <v>1</v>
      </c>
      <c r="Y16" s="80">
        <v>1</v>
      </c>
      <c r="Z16" s="80">
        <v>1</v>
      </c>
      <c r="AA16" s="80">
        <v>1</v>
      </c>
      <c r="AB16" s="80">
        <v>1</v>
      </c>
      <c r="AC16" s="80">
        <v>1</v>
      </c>
      <c r="AD16" s="271" t="s">
        <v>251</v>
      </c>
      <c r="AE16" s="271" t="str">
        <f>IF(AD16&lt;&gt;"",VLOOKUP(AD16,リスト!$R$12:$S$18,2,FALSE),"")</f>
        <v>リスト!$J$2:$J$5</v>
      </c>
      <c r="AF16" s="271" t="s">
        <v>408</v>
      </c>
      <c r="AG16" s="308">
        <v>3</v>
      </c>
      <c r="AH16" s="308">
        <v>360</v>
      </c>
      <c r="AI16" s="308">
        <v>30</v>
      </c>
      <c r="AJ16" s="308">
        <v>12</v>
      </c>
      <c r="AK16" s="126"/>
      <c r="AM16" s="327" t="str">
        <f t="shared" si="9"/>
        <v>第2課目C馬場馬術競技-</v>
      </c>
      <c r="AN16" s="44">
        <f t="shared" si="6"/>
        <v>16</v>
      </c>
      <c r="AO16" s="44">
        <f t="shared" si="10"/>
        <v>13</v>
      </c>
      <c r="AP16" s="325" t="e" cm="1">
        <f t="array" aca="1" ref="AP16" ca="1">IF(INDIRECT(ADDRESS(ROW($AO$4)+$AO16-1,COLUMN(O$3)))=INDIRECT(ADDRESS(ROW(),COLUMN(O$3))),"","NG")</f>
        <v>#VALUE!</v>
      </c>
      <c r="AQ16" s="325" t="e" cm="1">
        <f t="array" aca="1" ref="AQ16" ca="1">IF(INDIRECT(ADDRESS(ROW($AO$4)+$AO16-1,COLUMN(P$3)))=INDIRECT(ADDRESS(ROW(),COLUMN(P$3))),"","NG")</f>
        <v>#VALUE!</v>
      </c>
      <c r="AR16" s="325" t="e" cm="1">
        <f t="array" aca="1" ref="AR16" ca="1">IF(INDIRECT(ADDRESS(ROW($AO$4)+$AO16-1,COLUMN(Q$3)))=INDIRECT(ADDRESS(ROW(),COLUMN(Q$3))),"","NG")</f>
        <v>#VALUE!</v>
      </c>
      <c r="AS16" s="325" t="e" cm="1">
        <f t="array" aca="1" ref="AS16" ca="1">IF(INDIRECT(ADDRESS(ROW($AO$4)+$AO16-1,COLUMN(R$3)))=INDIRECT(ADDRESS(ROW(),COLUMN(R$3))),"","NG")</f>
        <v>#VALUE!</v>
      </c>
      <c r="AT16" s="325" t="e" cm="1">
        <f t="array" aca="1" ref="AT16" ca="1">IF(INDIRECT(ADDRESS(ROW($AO$4)+$AO16-1,COLUMN(S$3)))=INDIRECT(ADDRESS(ROW(),COLUMN(S$3))),"","NG")</f>
        <v>#VALUE!</v>
      </c>
      <c r="AU16" s="325" t="e" cm="1">
        <f t="array" aca="1" ref="AU16" ca="1">IF(INDIRECT(ADDRESS(ROW($AO$4)+$AO16-1,COLUMN(V$3)))=INDIRECT(ADDRESS(ROW(),COLUMN(V$3))),"","NG")</f>
        <v>#VALUE!</v>
      </c>
      <c r="AV16" s="325" t="e" cm="1">
        <f t="array" aca="1" ref="AV16" ca="1">IF(INDIRECT(ADDRESS(ROW($AO$4)+$AO16-1,COLUMN(W$3)))=INDIRECT(ADDRESS(ROW(),COLUMN(W$3))),"","NG")</f>
        <v>#VALUE!</v>
      </c>
      <c r="AW16" s="325" t="e" cm="1">
        <f t="array" aca="1" ref="AW16" ca="1">IF(INDIRECT(ADDRESS(ROW($AO$4)+$AO16-1,COLUMN(X$3)))=INDIRECT(ADDRESS(ROW(),COLUMN(X$3))),"","NG")</f>
        <v>#VALUE!</v>
      </c>
      <c r="AX16" s="325" t="e" cm="1">
        <f t="array" aca="1" ref="AX16" ca="1">IF(INDIRECT(ADDRESS(ROW($AO$4)+$AO16-1,COLUMN(Y$3)))=INDIRECT(ADDRESS(ROW(),COLUMN(Y$3))),"","NG")</f>
        <v>#VALUE!</v>
      </c>
      <c r="AY16" s="325" t="e" cm="1">
        <f t="array" aca="1" ref="AY16" ca="1">IF(INDIRECT(ADDRESS(ROW($AO$4)+$AO16-1,COLUMN(Z$3)))=INDIRECT(ADDRESS(ROW(),COLUMN(Z$3))),"","NG")</f>
        <v>#VALUE!</v>
      </c>
      <c r="AZ16" s="325" t="e" cm="1">
        <f t="array" aca="1" ref="AZ16" ca="1">IF(INDIRECT(ADDRESS(ROW($AO$4)+$AO16-1,COLUMN(AA$3)))=INDIRECT(ADDRESS(ROW(),COLUMN(AA$3))),"","NG")</f>
        <v>#VALUE!</v>
      </c>
      <c r="BA16" s="325" t="e" cm="1">
        <f t="array" aca="1" ref="BA16" ca="1">IF(INDIRECT(ADDRESS(ROW($AO$4)+$AO16-1,COLUMN(AB$3)))=INDIRECT(ADDRESS(ROW(),COLUMN(AB$3))),"","NG")</f>
        <v>#VALUE!</v>
      </c>
      <c r="BB16" s="325" t="e" cm="1">
        <f t="array" aca="1" ref="BB16" ca="1">IF(INDIRECT(ADDRESS(ROW($AO$4)+$AO16-1,COLUMN(AC$3)))=INDIRECT(ADDRESS(ROW(),COLUMN(AC$3))),"","NG")</f>
        <v>#VALUE!</v>
      </c>
      <c r="BC16" s="325" t="e" cm="1">
        <f t="array" aca="1" ref="BC16" ca="1">IF(INDIRECT(ADDRESS(ROW($AO$4)+$AO16-1,COLUMN(AD$3)))=INDIRECT(ADDRESS(ROW(),COLUMN(AD$3))),"","NG")</f>
        <v>#VALUE!</v>
      </c>
      <c r="BD16" s="325" t="e" cm="1">
        <f t="array" aca="1" ref="BD16" ca="1">IF(INDIRECT(ADDRESS(ROW($AO$4)+$AO16-1,COLUMN(AF$3)))=INDIRECT(ADDRESS(ROW(),COLUMN(AF$3))),"","NG")</f>
        <v>#VALUE!</v>
      </c>
      <c r="BE16" s="325" t="e" cm="1">
        <f t="array" aca="1" ref="BE16" ca="1">IF(INDIRECT(ADDRESS(ROW($AO$4)+$AO16-1,COLUMN(AG$3)))=INDIRECT(ADDRESS(ROW(),COLUMN(AG$3))),"","NG")</f>
        <v>#VALUE!</v>
      </c>
      <c r="BF16" s="325" t="e" cm="1">
        <f t="array" aca="1" ref="BF16" ca="1">IF(INDIRECT(ADDRESS(ROW($AO$4)+$AO16-1,COLUMN(AH$3)))=INDIRECT(ADDRESS(ROW(),COLUMN(AH$3))),"","NG")</f>
        <v>#VALUE!</v>
      </c>
      <c r="BG16" s="325" t="e" cm="1">
        <f t="array" aca="1" ref="BG16" ca="1">IF(INDIRECT(ADDRESS(ROW($AO$4)+$AO16-1,COLUMN(AI$3)))=INDIRECT(ADDRESS(ROW(),COLUMN(AI$3))),"","NG")</f>
        <v>#VALUE!</v>
      </c>
      <c r="BH16" s="325" t="e" cm="1">
        <f t="array" aca="1" ref="BH16" ca="1">IF(INDIRECT(ADDRESS(ROW($AO$4)+$AO16-1,COLUMN(AJ$3)))=INDIRECT(ADDRESS(ROW(),COLUMN(AJ$3))),"","NG")</f>
        <v>#VALUE!</v>
      </c>
    </row>
    <row r="17" spans="1:60" x14ac:dyDescent="0.4">
      <c r="A17" s="338" t="s">
        <v>305</v>
      </c>
      <c r="B17" s="338"/>
      <c r="C17" s="26">
        <v>0</v>
      </c>
      <c r="D17" s="46"/>
      <c r="E17" s="46"/>
      <c r="F17" s="46"/>
      <c r="H17" s="305">
        <f t="shared" si="7"/>
        <v>14</v>
      </c>
      <c r="I17" s="80">
        <v>10</v>
      </c>
      <c r="J17" s="80">
        <v>2</v>
      </c>
      <c r="K17" s="277" t="str">
        <f t="shared" si="3"/>
        <v>9月30日(土)</v>
      </c>
      <c r="L17" s="312" t="str">
        <f t="shared" si="8"/>
        <v>(10) 第2課目B馬場馬術競技</v>
      </c>
      <c r="M17" s="81" t="s">
        <v>1777</v>
      </c>
      <c r="N17" s="280" t="s">
        <v>162</v>
      </c>
      <c r="O17" s="283">
        <v>10000</v>
      </c>
      <c r="P17" s="283">
        <v>8000</v>
      </c>
      <c r="Q17" s="283">
        <v>8000</v>
      </c>
      <c r="R17" s="283">
        <v>8000</v>
      </c>
      <c r="S17" s="271"/>
      <c r="T17" s="80">
        <f t="shared" si="4"/>
        <v>14</v>
      </c>
      <c r="U17" s="80">
        <f t="shared" si="5"/>
        <v>10</v>
      </c>
      <c r="V17" s="80" t="s">
        <v>12</v>
      </c>
      <c r="W17" s="80" t="s">
        <v>11</v>
      </c>
      <c r="X17" s="80">
        <v>1</v>
      </c>
      <c r="Y17" s="80">
        <v>1</v>
      </c>
      <c r="Z17" s="80">
        <v>1</v>
      </c>
      <c r="AA17" s="80">
        <v>1</v>
      </c>
      <c r="AB17" s="80">
        <v>1</v>
      </c>
      <c r="AC17" s="80">
        <v>1</v>
      </c>
      <c r="AD17" s="271" t="s">
        <v>251</v>
      </c>
      <c r="AE17" s="271" t="str">
        <f>IF(AD17&lt;&gt;"",VLOOKUP(AD17,リスト!$R$12:$S$18,2,FALSE),"")</f>
        <v>リスト!$J$2:$J$5</v>
      </c>
      <c r="AF17" s="271" t="s">
        <v>413</v>
      </c>
      <c r="AG17" s="308">
        <v>2</v>
      </c>
      <c r="AH17" s="308">
        <v>360</v>
      </c>
      <c r="AI17" s="308">
        <v>30</v>
      </c>
      <c r="AJ17" s="308">
        <v>12</v>
      </c>
      <c r="AK17" s="126"/>
      <c r="AM17" s="327" t="str">
        <f t="shared" si="9"/>
        <v>第2課目B馬場馬術競技-</v>
      </c>
      <c r="AN17" s="44">
        <f t="shared" si="6"/>
        <v>17</v>
      </c>
      <c r="AO17" s="44">
        <f t="shared" si="10"/>
        <v>14</v>
      </c>
      <c r="AP17" s="325" t="e" cm="1">
        <f t="array" aca="1" ref="AP17" ca="1">IF(INDIRECT(ADDRESS(ROW($AO$4)+$AO17-1,COLUMN(O$3)))=INDIRECT(ADDRESS(ROW(),COLUMN(O$3))),"","NG")</f>
        <v>#VALUE!</v>
      </c>
      <c r="AQ17" s="325" t="e" cm="1">
        <f t="array" aca="1" ref="AQ17" ca="1">IF(INDIRECT(ADDRESS(ROW($AO$4)+$AO17-1,COLUMN(P$3)))=INDIRECT(ADDRESS(ROW(),COLUMN(P$3))),"","NG")</f>
        <v>#VALUE!</v>
      </c>
      <c r="AR17" s="325" t="e" cm="1">
        <f t="array" aca="1" ref="AR17" ca="1">IF(INDIRECT(ADDRESS(ROW($AO$4)+$AO17-1,COLUMN(Q$3)))=INDIRECT(ADDRESS(ROW(),COLUMN(Q$3))),"","NG")</f>
        <v>#VALUE!</v>
      </c>
      <c r="AS17" s="325" t="e" cm="1">
        <f t="array" aca="1" ref="AS17" ca="1">IF(INDIRECT(ADDRESS(ROW($AO$4)+$AO17-1,COLUMN(R$3)))=INDIRECT(ADDRESS(ROW(),COLUMN(R$3))),"","NG")</f>
        <v>#VALUE!</v>
      </c>
      <c r="AT17" s="325" t="e" cm="1">
        <f t="array" aca="1" ref="AT17" ca="1">IF(INDIRECT(ADDRESS(ROW($AO$4)+$AO17-1,COLUMN(S$3)))=INDIRECT(ADDRESS(ROW(),COLUMN(S$3))),"","NG")</f>
        <v>#VALUE!</v>
      </c>
      <c r="AU17" s="325" t="e" cm="1">
        <f t="array" aca="1" ref="AU17" ca="1">IF(INDIRECT(ADDRESS(ROW($AO$4)+$AO17-1,COLUMN(V$3)))=INDIRECT(ADDRESS(ROW(),COLUMN(V$3))),"","NG")</f>
        <v>#VALUE!</v>
      </c>
      <c r="AV17" s="325" t="e" cm="1">
        <f t="array" aca="1" ref="AV17" ca="1">IF(INDIRECT(ADDRESS(ROW($AO$4)+$AO17-1,COLUMN(W$3)))=INDIRECT(ADDRESS(ROW(),COLUMN(W$3))),"","NG")</f>
        <v>#VALUE!</v>
      </c>
      <c r="AW17" s="325" t="e" cm="1">
        <f t="array" aca="1" ref="AW17" ca="1">IF(INDIRECT(ADDRESS(ROW($AO$4)+$AO17-1,COLUMN(X$3)))=INDIRECT(ADDRESS(ROW(),COLUMN(X$3))),"","NG")</f>
        <v>#VALUE!</v>
      </c>
      <c r="AX17" s="325" t="e" cm="1">
        <f t="array" aca="1" ref="AX17" ca="1">IF(INDIRECT(ADDRESS(ROW($AO$4)+$AO17-1,COLUMN(Y$3)))=INDIRECT(ADDRESS(ROW(),COLUMN(Y$3))),"","NG")</f>
        <v>#VALUE!</v>
      </c>
      <c r="AY17" s="325" t="e" cm="1">
        <f t="array" aca="1" ref="AY17" ca="1">IF(INDIRECT(ADDRESS(ROW($AO$4)+$AO17-1,COLUMN(Z$3)))=INDIRECT(ADDRESS(ROW(),COLUMN(Z$3))),"","NG")</f>
        <v>#VALUE!</v>
      </c>
      <c r="AZ17" s="325" t="e" cm="1">
        <f t="array" aca="1" ref="AZ17" ca="1">IF(INDIRECT(ADDRESS(ROW($AO$4)+$AO17-1,COLUMN(AA$3)))=INDIRECT(ADDRESS(ROW(),COLUMN(AA$3))),"","NG")</f>
        <v>#VALUE!</v>
      </c>
      <c r="BA17" s="325" t="e" cm="1">
        <f t="array" aca="1" ref="BA17" ca="1">IF(INDIRECT(ADDRESS(ROW($AO$4)+$AO17-1,COLUMN(AB$3)))=INDIRECT(ADDRESS(ROW(),COLUMN(AB$3))),"","NG")</f>
        <v>#VALUE!</v>
      </c>
      <c r="BB17" s="325" t="e" cm="1">
        <f t="array" aca="1" ref="BB17" ca="1">IF(INDIRECT(ADDRESS(ROW($AO$4)+$AO17-1,COLUMN(AC$3)))=INDIRECT(ADDRESS(ROW(),COLUMN(AC$3))),"","NG")</f>
        <v>#VALUE!</v>
      </c>
      <c r="BC17" s="325" t="e" cm="1">
        <f t="array" aca="1" ref="BC17" ca="1">IF(INDIRECT(ADDRESS(ROW($AO$4)+$AO17-1,COLUMN(AD$3)))=INDIRECT(ADDRESS(ROW(),COLUMN(AD$3))),"","NG")</f>
        <v>#VALUE!</v>
      </c>
      <c r="BD17" s="325" t="e" cm="1">
        <f t="array" aca="1" ref="BD17" ca="1">IF(INDIRECT(ADDRESS(ROW($AO$4)+$AO17-1,COLUMN(AF$3)))=INDIRECT(ADDRESS(ROW(),COLUMN(AF$3))),"","NG")</f>
        <v>#VALUE!</v>
      </c>
      <c r="BE17" s="325" t="e" cm="1">
        <f t="array" aca="1" ref="BE17" ca="1">IF(INDIRECT(ADDRESS(ROW($AO$4)+$AO17-1,COLUMN(AG$3)))=INDIRECT(ADDRESS(ROW(),COLUMN(AG$3))),"","NG")</f>
        <v>#VALUE!</v>
      </c>
      <c r="BF17" s="325" t="e" cm="1">
        <f t="array" aca="1" ref="BF17" ca="1">IF(INDIRECT(ADDRESS(ROW($AO$4)+$AO17-1,COLUMN(AH$3)))=INDIRECT(ADDRESS(ROW(),COLUMN(AH$3))),"","NG")</f>
        <v>#VALUE!</v>
      </c>
      <c r="BG17" s="325" t="e" cm="1">
        <f t="array" aca="1" ref="BG17" ca="1">IF(INDIRECT(ADDRESS(ROW($AO$4)+$AO17-1,COLUMN(AI$3)))=INDIRECT(ADDRESS(ROW(),COLUMN(AI$3))),"","NG")</f>
        <v>#VALUE!</v>
      </c>
      <c r="BH17" s="325" t="e" cm="1">
        <f t="array" aca="1" ref="BH17" ca="1">IF(INDIRECT(ADDRESS(ROW($AO$4)+$AO17-1,COLUMN(AJ$3)))=INDIRECT(ADDRESS(ROW(),COLUMN(AJ$3))),"","NG")</f>
        <v>#VALUE!</v>
      </c>
    </row>
    <row r="18" spans="1:60" x14ac:dyDescent="0.4">
      <c r="A18" s="338" t="s">
        <v>300</v>
      </c>
      <c r="B18" s="338"/>
      <c r="C18" s="26">
        <v>1200</v>
      </c>
      <c r="D18" s="46"/>
      <c r="E18" s="46"/>
      <c r="F18" s="46"/>
      <c r="H18" s="305">
        <f t="shared" si="7"/>
        <v>15</v>
      </c>
      <c r="I18" s="80">
        <v>11</v>
      </c>
      <c r="J18" s="80">
        <v>2</v>
      </c>
      <c r="K18" s="277" t="str">
        <f t="shared" si="3"/>
        <v>9月30日(土)</v>
      </c>
      <c r="L18" s="312" t="str">
        <f t="shared" si="8"/>
        <v>(11) 第2課目A馬場馬術競技</v>
      </c>
      <c r="M18" s="81" t="s">
        <v>1778</v>
      </c>
      <c r="N18" s="280" t="s">
        <v>162</v>
      </c>
      <c r="O18" s="283">
        <v>10000</v>
      </c>
      <c r="P18" s="283">
        <v>8000</v>
      </c>
      <c r="Q18" s="283">
        <v>8000</v>
      </c>
      <c r="R18" s="283">
        <v>8000</v>
      </c>
      <c r="S18" s="271"/>
      <c r="T18" s="80">
        <f t="shared" si="4"/>
        <v>15</v>
      </c>
      <c r="U18" s="80">
        <f t="shared" si="5"/>
        <v>11</v>
      </c>
      <c r="V18" s="80" t="s">
        <v>12</v>
      </c>
      <c r="W18" s="80" t="s">
        <v>11</v>
      </c>
      <c r="X18" s="80">
        <v>1</v>
      </c>
      <c r="Y18" s="80">
        <v>1</v>
      </c>
      <c r="Z18" s="80">
        <v>1</v>
      </c>
      <c r="AA18" s="80">
        <v>1</v>
      </c>
      <c r="AB18" s="80">
        <v>1</v>
      </c>
      <c r="AC18" s="80">
        <v>1</v>
      </c>
      <c r="AD18" s="271" t="s">
        <v>251</v>
      </c>
      <c r="AE18" s="271" t="str">
        <f>IF(AD18&lt;&gt;"",VLOOKUP(AD18,リスト!$R$12:$S$18,2,FALSE),"")</f>
        <v>リスト!$J$2:$J$5</v>
      </c>
      <c r="AF18" s="271" t="s">
        <v>413</v>
      </c>
      <c r="AG18" s="308">
        <v>2</v>
      </c>
      <c r="AH18" s="308">
        <v>360</v>
      </c>
      <c r="AI18" s="308">
        <v>30</v>
      </c>
      <c r="AJ18" s="308">
        <v>12</v>
      </c>
      <c r="AK18" s="126"/>
      <c r="AM18" s="327" t="str">
        <f t="shared" si="9"/>
        <v>第2課目A馬場馬術競技-</v>
      </c>
      <c r="AN18" s="44">
        <f t="shared" si="6"/>
        <v>18</v>
      </c>
      <c r="AO18" s="44">
        <f t="shared" si="10"/>
        <v>15</v>
      </c>
      <c r="AP18" s="325" t="e" cm="1">
        <f t="array" aca="1" ref="AP18" ca="1">IF(INDIRECT(ADDRESS(ROW($AO$4)+$AO18-1,COLUMN(O$3)))=INDIRECT(ADDRESS(ROW(),COLUMN(O$3))),"","NG")</f>
        <v>#VALUE!</v>
      </c>
      <c r="AQ18" s="325" t="e" cm="1">
        <f t="array" aca="1" ref="AQ18" ca="1">IF(INDIRECT(ADDRESS(ROW($AO$4)+$AO18-1,COLUMN(P$3)))=INDIRECT(ADDRESS(ROW(),COLUMN(P$3))),"","NG")</f>
        <v>#VALUE!</v>
      </c>
      <c r="AR18" s="325" t="e" cm="1">
        <f t="array" aca="1" ref="AR18" ca="1">IF(INDIRECT(ADDRESS(ROW($AO$4)+$AO18-1,COLUMN(Q$3)))=INDIRECT(ADDRESS(ROW(),COLUMN(Q$3))),"","NG")</f>
        <v>#VALUE!</v>
      </c>
      <c r="AS18" s="325" t="e" cm="1">
        <f t="array" aca="1" ref="AS18" ca="1">IF(INDIRECT(ADDRESS(ROW($AO$4)+$AO18-1,COLUMN(R$3)))=INDIRECT(ADDRESS(ROW(),COLUMN(R$3))),"","NG")</f>
        <v>#VALUE!</v>
      </c>
      <c r="AT18" s="325" t="e" cm="1">
        <f t="array" aca="1" ref="AT18" ca="1">IF(INDIRECT(ADDRESS(ROW($AO$4)+$AO18-1,COLUMN(S$3)))=INDIRECT(ADDRESS(ROW(),COLUMN(S$3))),"","NG")</f>
        <v>#VALUE!</v>
      </c>
      <c r="AU18" s="325" t="e" cm="1">
        <f t="array" aca="1" ref="AU18" ca="1">IF(INDIRECT(ADDRESS(ROW($AO$4)+$AO18-1,COLUMN(V$3)))=INDIRECT(ADDRESS(ROW(),COLUMN(V$3))),"","NG")</f>
        <v>#VALUE!</v>
      </c>
      <c r="AV18" s="325" t="e" cm="1">
        <f t="array" aca="1" ref="AV18" ca="1">IF(INDIRECT(ADDRESS(ROW($AO$4)+$AO18-1,COLUMN(W$3)))=INDIRECT(ADDRESS(ROW(),COLUMN(W$3))),"","NG")</f>
        <v>#VALUE!</v>
      </c>
      <c r="AW18" s="325" t="e" cm="1">
        <f t="array" aca="1" ref="AW18" ca="1">IF(INDIRECT(ADDRESS(ROW($AO$4)+$AO18-1,COLUMN(X$3)))=INDIRECT(ADDRESS(ROW(),COLUMN(X$3))),"","NG")</f>
        <v>#VALUE!</v>
      </c>
      <c r="AX18" s="325" t="e" cm="1">
        <f t="array" aca="1" ref="AX18" ca="1">IF(INDIRECT(ADDRESS(ROW($AO$4)+$AO18-1,COLUMN(Y$3)))=INDIRECT(ADDRESS(ROW(),COLUMN(Y$3))),"","NG")</f>
        <v>#VALUE!</v>
      </c>
      <c r="AY18" s="325" t="e" cm="1">
        <f t="array" aca="1" ref="AY18" ca="1">IF(INDIRECT(ADDRESS(ROW($AO$4)+$AO18-1,COLUMN(Z$3)))=INDIRECT(ADDRESS(ROW(),COLUMN(Z$3))),"","NG")</f>
        <v>#VALUE!</v>
      </c>
      <c r="AZ18" s="325" t="e" cm="1">
        <f t="array" aca="1" ref="AZ18" ca="1">IF(INDIRECT(ADDRESS(ROW($AO$4)+$AO18-1,COLUMN(AA$3)))=INDIRECT(ADDRESS(ROW(),COLUMN(AA$3))),"","NG")</f>
        <v>#VALUE!</v>
      </c>
      <c r="BA18" s="325" t="e" cm="1">
        <f t="array" aca="1" ref="BA18" ca="1">IF(INDIRECT(ADDRESS(ROW($AO$4)+$AO18-1,COLUMN(AB$3)))=INDIRECT(ADDRESS(ROW(),COLUMN(AB$3))),"","NG")</f>
        <v>#VALUE!</v>
      </c>
      <c r="BB18" s="325" t="e" cm="1">
        <f t="array" aca="1" ref="BB18" ca="1">IF(INDIRECT(ADDRESS(ROW($AO$4)+$AO18-1,COLUMN(AC$3)))=INDIRECT(ADDRESS(ROW(),COLUMN(AC$3))),"","NG")</f>
        <v>#VALUE!</v>
      </c>
      <c r="BC18" s="325" t="e" cm="1">
        <f t="array" aca="1" ref="BC18" ca="1">IF(INDIRECT(ADDRESS(ROW($AO$4)+$AO18-1,COLUMN(AD$3)))=INDIRECT(ADDRESS(ROW(),COLUMN(AD$3))),"","NG")</f>
        <v>#VALUE!</v>
      </c>
      <c r="BD18" s="325" t="e" cm="1">
        <f t="array" aca="1" ref="BD18" ca="1">IF(INDIRECT(ADDRESS(ROW($AO$4)+$AO18-1,COLUMN(AF$3)))=INDIRECT(ADDRESS(ROW(),COLUMN(AF$3))),"","NG")</f>
        <v>#VALUE!</v>
      </c>
      <c r="BE18" s="325" t="e" cm="1">
        <f t="array" aca="1" ref="BE18" ca="1">IF(INDIRECT(ADDRESS(ROW($AO$4)+$AO18-1,COLUMN(AG$3)))=INDIRECT(ADDRESS(ROW(),COLUMN(AG$3))),"","NG")</f>
        <v>#VALUE!</v>
      </c>
      <c r="BF18" s="325" t="e" cm="1">
        <f t="array" aca="1" ref="BF18" ca="1">IF(INDIRECT(ADDRESS(ROW($AO$4)+$AO18-1,COLUMN(AH$3)))=INDIRECT(ADDRESS(ROW(),COLUMN(AH$3))),"","NG")</f>
        <v>#VALUE!</v>
      </c>
      <c r="BG18" s="325" t="e" cm="1">
        <f t="array" aca="1" ref="BG18" ca="1">IF(INDIRECT(ADDRESS(ROW($AO$4)+$AO18-1,COLUMN(AI$3)))=INDIRECT(ADDRESS(ROW(),COLUMN(AI$3))),"","NG")</f>
        <v>#VALUE!</v>
      </c>
      <c r="BH18" s="325" t="e" cm="1">
        <f t="array" aca="1" ref="BH18" ca="1">IF(INDIRECT(ADDRESS(ROW($AO$4)+$AO18-1,COLUMN(AJ$3)))=INDIRECT(ADDRESS(ROW(),COLUMN(AJ$3))),"","NG")</f>
        <v>#VALUE!</v>
      </c>
    </row>
    <row r="19" spans="1:60" x14ac:dyDescent="0.4">
      <c r="H19" s="305">
        <f t="shared" si="7"/>
        <v>16</v>
      </c>
      <c r="I19" s="80">
        <v>12</v>
      </c>
      <c r="J19" s="80">
        <v>2</v>
      </c>
      <c r="K19" s="277" t="str">
        <f t="shared" si="3"/>
        <v>9月30日(土)</v>
      </c>
      <c r="L19" s="312" t="str">
        <f t="shared" si="8"/>
        <v>(12) 第3課目A馬術競技(公認)</v>
      </c>
      <c r="M19" s="81" t="s">
        <v>1783</v>
      </c>
      <c r="N19" s="280" t="s">
        <v>1779</v>
      </c>
      <c r="O19" s="283">
        <v>14000</v>
      </c>
      <c r="P19" s="283" t="s">
        <v>8</v>
      </c>
      <c r="Q19" s="283" t="s">
        <v>8</v>
      </c>
      <c r="R19" s="283" t="s">
        <v>8</v>
      </c>
      <c r="S19" s="271"/>
      <c r="T19" s="80">
        <f t="shared" si="4"/>
        <v>16</v>
      </c>
      <c r="U19" s="80">
        <f t="shared" si="5"/>
        <v>12</v>
      </c>
      <c r="V19" s="80" t="s">
        <v>1755</v>
      </c>
      <c r="W19" s="80" t="s">
        <v>392</v>
      </c>
      <c r="X19" s="80">
        <v>1</v>
      </c>
      <c r="Y19" s="80">
        <v>1</v>
      </c>
      <c r="Z19" s="80">
        <v>1</v>
      </c>
      <c r="AA19" s="80">
        <v>1</v>
      </c>
      <c r="AB19" s="80">
        <v>1</v>
      </c>
      <c r="AC19" s="80">
        <v>1</v>
      </c>
      <c r="AD19" s="271" t="s">
        <v>253</v>
      </c>
      <c r="AE19" s="271" t="str">
        <f>IF(AD19&lt;&gt;"",VLOOKUP(AD19,リスト!$R$12:$S$18,2,FALSE),"")</f>
        <v>リスト!$J$2:$J$2</v>
      </c>
      <c r="AF19" s="271" t="s">
        <v>413</v>
      </c>
      <c r="AG19" s="308">
        <v>2</v>
      </c>
      <c r="AH19" s="308">
        <v>360</v>
      </c>
      <c r="AI19" s="308">
        <v>30</v>
      </c>
      <c r="AJ19" s="308">
        <v>12</v>
      </c>
      <c r="AK19" s="126"/>
      <c r="AM19" s="327" t="str">
        <f t="shared" si="9"/>
        <v>第3課目A馬術競技公認</v>
      </c>
      <c r="AN19" s="44">
        <f t="shared" si="6"/>
        <v>19</v>
      </c>
      <c r="AO19" s="44">
        <f t="shared" si="10"/>
        <v>16</v>
      </c>
      <c r="AP19" s="325" t="e" cm="1">
        <f t="array" aca="1" ref="AP19" ca="1">IF(INDIRECT(ADDRESS(ROW($AO$4)+$AO19-1,COLUMN(O$3)))=INDIRECT(ADDRESS(ROW(),COLUMN(O$3))),"","NG")</f>
        <v>#VALUE!</v>
      </c>
      <c r="AQ19" s="325" t="e" cm="1">
        <f t="array" aca="1" ref="AQ19" ca="1">IF(INDIRECT(ADDRESS(ROW($AO$4)+$AO19-1,COLUMN(P$3)))=INDIRECT(ADDRESS(ROW(),COLUMN(P$3))),"","NG")</f>
        <v>#VALUE!</v>
      </c>
      <c r="AR19" s="325" t="e" cm="1">
        <f t="array" aca="1" ref="AR19" ca="1">IF(INDIRECT(ADDRESS(ROW($AO$4)+$AO19-1,COLUMN(Q$3)))=INDIRECT(ADDRESS(ROW(),COLUMN(Q$3))),"","NG")</f>
        <v>#VALUE!</v>
      </c>
      <c r="AS19" s="325" t="e" cm="1">
        <f t="array" aca="1" ref="AS19" ca="1">IF(INDIRECT(ADDRESS(ROW($AO$4)+$AO19-1,COLUMN(R$3)))=INDIRECT(ADDRESS(ROW(),COLUMN(R$3))),"","NG")</f>
        <v>#VALUE!</v>
      </c>
      <c r="AT19" s="325" t="e" cm="1">
        <f t="array" aca="1" ref="AT19" ca="1">IF(INDIRECT(ADDRESS(ROW($AO$4)+$AO19-1,COLUMN(S$3)))=INDIRECT(ADDRESS(ROW(),COLUMN(S$3))),"","NG")</f>
        <v>#VALUE!</v>
      </c>
      <c r="AU19" s="325" t="e" cm="1">
        <f t="array" aca="1" ref="AU19" ca="1">IF(INDIRECT(ADDRESS(ROW($AO$4)+$AO19-1,COLUMN(V$3)))=INDIRECT(ADDRESS(ROW(),COLUMN(V$3))),"","NG")</f>
        <v>#VALUE!</v>
      </c>
      <c r="AV19" s="325" t="e" cm="1">
        <f t="array" aca="1" ref="AV19" ca="1">IF(INDIRECT(ADDRESS(ROW($AO$4)+$AO19-1,COLUMN(W$3)))=INDIRECT(ADDRESS(ROW(),COLUMN(W$3))),"","NG")</f>
        <v>#VALUE!</v>
      </c>
      <c r="AW19" s="325" t="e" cm="1">
        <f t="array" aca="1" ref="AW19" ca="1">IF(INDIRECT(ADDRESS(ROW($AO$4)+$AO19-1,COLUMN(X$3)))=INDIRECT(ADDRESS(ROW(),COLUMN(X$3))),"","NG")</f>
        <v>#VALUE!</v>
      </c>
      <c r="AX19" s="325" t="e" cm="1">
        <f t="array" aca="1" ref="AX19" ca="1">IF(INDIRECT(ADDRESS(ROW($AO$4)+$AO19-1,COLUMN(Y$3)))=INDIRECT(ADDRESS(ROW(),COLUMN(Y$3))),"","NG")</f>
        <v>#VALUE!</v>
      </c>
      <c r="AY19" s="325" t="e" cm="1">
        <f t="array" aca="1" ref="AY19" ca="1">IF(INDIRECT(ADDRESS(ROW($AO$4)+$AO19-1,COLUMN(Z$3)))=INDIRECT(ADDRESS(ROW(),COLUMN(Z$3))),"","NG")</f>
        <v>#VALUE!</v>
      </c>
      <c r="AZ19" s="325" t="e" cm="1">
        <f t="array" aca="1" ref="AZ19" ca="1">IF(INDIRECT(ADDRESS(ROW($AO$4)+$AO19-1,COLUMN(AA$3)))=INDIRECT(ADDRESS(ROW(),COLUMN(AA$3))),"","NG")</f>
        <v>#VALUE!</v>
      </c>
      <c r="BA19" s="325" t="e" cm="1">
        <f t="array" aca="1" ref="BA19" ca="1">IF(INDIRECT(ADDRESS(ROW($AO$4)+$AO19-1,COLUMN(AB$3)))=INDIRECT(ADDRESS(ROW(),COLUMN(AB$3))),"","NG")</f>
        <v>#VALUE!</v>
      </c>
      <c r="BB19" s="325" t="e" cm="1">
        <f t="array" aca="1" ref="BB19" ca="1">IF(INDIRECT(ADDRESS(ROW($AO$4)+$AO19-1,COLUMN(AC$3)))=INDIRECT(ADDRESS(ROW(),COLUMN(AC$3))),"","NG")</f>
        <v>#VALUE!</v>
      </c>
      <c r="BC19" s="325" t="e" cm="1">
        <f t="array" aca="1" ref="BC19" ca="1">IF(INDIRECT(ADDRESS(ROW($AO$4)+$AO19-1,COLUMN(AD$3)))=INDIRECT(ADDRESS(ROW(),COLUMN(AD$3))),"","NG")</f>
        <v>#VALUE!</v>
      </c>
      <c r="BD19" s="325" t="e" cm="1">
        <f t="array" aca="1" ref="BD19" ca="1">IF(INDIRECT(ADDRESS(ROW($AO$4)+$AO19-1,COLUMN(AF$3)))=INDIRECT(ADDRESS(ROW(),COLUMN(AF$3))),"","NG")</f>
        <v>#VALUE!</v>
      </c>
      <c r="BE19" s="325" t="e" cm="1">
        <f t="array" aca="1" ref="BE19" ca="1">IF(INDIRECT(ADDRESS(ROW($AO$4)+$AO19-1,COLUMN(AG$3)))=INDIRECT(ADDRESS(ROW(),COLUMN(AG$3))),"","NG")</f>
        <v>#VALUE!</v>
      </c>
      <c r="BF19" s="325" t="e" cm="1">
        <f t="array" aca="1" ref="BF19" ca="1">IF(INDIRECT(ADDRESS(ROW($AO$4)+$AO19-1,COLUMN(AH$3)))=INDIRECT(ADDRESS(ROW(),COLUMN(AH$3))),"","NG")</f>
        <v>#VALUE!</v>
      </c>
      <c r="BG19" s="325" t="e" cm="1">
        <f t="array" aca="1" ref="BG19" ca="1">IF(INDIRECT(ADDRESS(ROW($AO$4)+$AO19-1,COLUMN(AI$3)))=INDIRECT(ADDRESS(ROW(),COLUMN(AI$3))),"","NG")</f>
        <v>#VALUE!</v>
      </c>
      <c r="BH19" s="325" t="e" cm="1">
        <f t="array" aca="1" ref="BH19" ca="1">IF(INDIRECT(ADDRESS(ROW($AO$4)+$AO19-1,COLUMN(AJ$3)))=INDIRECT(ADDRESS(ROW(),COLUMN(AJ$3))),"","NG")</f>
        <v>#VALUE!</v>
      </c>
    </row>
    <row r="20" spans="1:60" x14ac:dyDescent="0.4">
      <c r="H20" s="305">
        <f t="shared" si="7"/>
        <v>17</v>
      </c>
      <c r="I20" s="80">
        <v>13</v>
      </c>
      <c r="J20" s="80">
        <v>2</v>
      </c>
      <c r="K20" s="277" t="str">
        <f t="shared" si="3"/>
        <v>9月30日(土)</v>
      </c>
      <c r="L20" s="312" t="str">
        <f t="shared" si="8"/>
        <v>(13) 第4課目A馬術競技(公認)</v>
      </c>
      <c r="M20" s="81" t="s">
        <v>1784</v>
      </c>
      <c r="N20" s="280" t="s">
        <v>1779</v>
      </c>
      <c r="O20" s="283">
        <v>14000</v>
      </c>
      <c r="P20" s="283" t="s">
        <v>8</v>
      </c>
      <c r="Q20" s="283" t="s">
        <v>8</v>
      </c>
      <c r="R20" s="283" t="s">
        <v>8</v>
      </c>
      <c r="S20" s="271"/>
      <c r="T20" s="80">
        <f t="shared" si="4"/>
        <v>17</v>
      </c>
      <c r="U20" s="80">
        <f t="shared" si="5"/>
        <v>13</v>
      </c>
      <c r="V20" s="80" t="s">
        <v>1755</v>
      </c>
      <c r="W20" s="80" t="s">
        <v>392</v>
      </c>
      <c r="X20" s="80">
        <v>1</v>
      </c>
      <c r="Y20" s="80">
        <v>1</v>
      </c>
      <c r="Z20" s="80">
        <v>1</v>
      </c>
      <c r="AA20" s="80">
        <v>1</v>
      </c>
      <c r="AB20" s="80">
        <v>1</v>
      </c>
      <c r="AC20" s="80">
        <v>1</v>
      </c>
      <c r="AD20" s="271" t="s">
        <v>253</v>
      </c>
      <c r="AE20" s="271" t="str">
        <f>IF(AD20&lt;&gt;"",VLOOKUP(AD20,リスト!$R$12:$S$18,2,FALSE),"")</f>
        <v>リスト!$J$2:$J$2</v>
      </c>
      <c r="AF20" s="271" t="s">
        <v>416</v>
      </c>
      <c r="AG20" s="308">
        <v>3</v>
      </c>
      <c r="AH20" s="308">
        <v>450</v>
      </c>
      <c r="AI20" s="308">
        <v>30</v>
      </c>
      <c r="AJ20" s="308">
        <v>12</v>
      </c>
      <c r="AK20" s="126"/>
      <c r="AM20" s="327" t="str">
        <f t="shared" si="9"/>
        <v>第4課目A馬術競技公認</v>
      </c>
      <c r="AN20" s="44">
        <f t="shared" si="6"/>
        <v>20</v>
      </c>
      <c r="AO20" s="44">
        <f t="shared" si="10"/>
        <v>17</v>
      </c>
      <c r="AP20" s="325" t="e" cm="1">
        <f t="array" aca="1" ref="AP20" ca="1">IF(INDIRECT(ADDRESS(ROW($AO$4)+$AO20-1,COLUMN(O$3)))=INDIRECT(ADDRESS(ROW(),COLUMN(O$3))),"","NG")</f>
        <v>#VALUE!</v>
      </c>
      <c r="AQ20" s="325" t="e" cm="1">
        <f t="array" aca="1" ref="AQ20" ca="1">IF(INDIRECT(ADDRESS(ROW($AO$4)+$AO20-1,COLUMN(P$3)))=INDIRECT(ADDRESS(ROW(),COLUMN(P$3))),"","NG")</f>
        <v>#VALUE!</v>
      </c>
      <c r="AR20" s="325" t="e" cm="1">
        <f t="array" aca="1" ref="AR20" ca="1">IF(INDIRECT(ADDRESS(ROW($AO$4)+$AO20-1,COLUMN(Q$3)))=INDIRECT(ADDRESS(ROW(),COLUMN(Q$3))),"","NG")</f>
        <v>#VALUE!</v>
      </c>
      <c r="AS20" s="325" t="e" cm="1">
        <f t="array" aca="1" ref="AS20" ca="1">IF(INDIRECT(ADDRESS(ROW($AO$4)+$AO20-1,COLUMN(R$3)))=INDIRECT(ADDRESS(ROW(),COLUMN(R$3))),"","NG")</f>
        <v>#VALUE!</v>
      </c>
      <c r="AT20" s="325" t="e" cm="1">
        <f t="array" aca="1" ref="AT20" ca="1">IF(INDIRECT(ADDRESS(ROW($AO$4)+$AO20-1,COLUMN(S$3)))=INDIRECT(ADDRESS(ROW(),COLUMN(S$3))),"","NG")</f>
        <v>#VALUE!</v>
      </c>
      <c r="AU20" s="325" t="e" cm="1">
        <f t="array" aca="1" ref="AU20" ca="1">IF(INDIRECT(ADDRESS(ROW($AO$4)+$AO20-1,COLUMN(V$3)))=INDIRECT(ADDRESS(ROW(),COLUMN(V$3))),"","NG")</f>
        <v>#VALUE!</v>
      </c>
      <c r="AV20" s="325" t="e" cm="1">
        <f t="array" aca="1" ref="AV20" ca="1">IF(INDIRECT(ADDRESS(ROW($AO$4)+$AO20-1,COLUMN(W$3)))=INDIRECT(ADDRESS(ROW(),COLUMN(W$3))),"","NG")</f>
        <v>#VALUE!</v>
      </c>
      <c r="AW20" s="325" t="e" cm="1">
        <f t="array" aca="1" ref="AW20" ca="1">IF(INDIRECT(ADDRESS(ROW($AO$4)+$AO20-1,COLUMN(X$3)))=INDIRECT(ADDRESS(ROW(),COLUMN(X$3))),"","NG")</f>
        <v>#VALUE!</v>
      </c>
      <c r="AX20" s="325" t="e" cm="1">
        <f t="array" aca="1" ref="AX20" ca="1">IF(INDIRECT(ADDRESS(ROW($AO$4)+$AO20-1,COLUMN(Y$3)))=INDIRECT(ADDRESS(ROW(),COLUMN(Y$3))),"","NG")</f>
        <v>#VALUE!</v>
      </c>
      <c r="AY20" s="325" t="e" cm="1">
        <f t="array" aca="1" ref="AY20" ca="1">IF(INDIRECT(ADDRESS(ROW($AO$4)+$AO20-1,COLUMN(Z$3)))=INDIRECT(ADDRESS(ROW(),COLUMN(Z$3))),"","NG")</f>
        <v>#VALUE!</v>
      </c>
      <c r="AZ20" s="325" t="e" cm="1">
        <f t="array" aca="1" ref="AZ20" ca="1">IF(INDIRECT(ADDRESS(ROW($AO$4)+$AO20-1,COLUMN(AA$3)))=INDIRECT(ADDRESS(ROW(),COLUMN(AA$3))),"","NG")</f>
        <v>#VALUE!</v>
      </c>
      <c r="BA20" s="325" t="e" cm="1">
        <f t="array" aca="1" ref="BA20" ca="1">IF(INDIRECT(ADDRESS(ROW($AO$4)+$AO20-1,COLUMN(AB$3)))=INDIRECT(ADDRESS(ROW(),COLUMN(AB$3))),"","NG")</f>
        <v>#VALUE!</v>
      </c>
      <c r="BB20" s="325" t="e" cm="1">
        <f t="array" aca="1" ref="BB20" ca="1">IF(INDIRECT(ADDRESS(ROW($AO$4)+$AO20-1,COLUMN(AC$3)))=INDIRECT(ADDRESS(ROW(),COLUMN(AC$3))),"","NG")</f>
        <v>#VALUE!</v>
      </c>
      <c r="BC20" s="325" t="e" cm="1">
        <f t="array" aca="1" ref="BC20" ca="1">IF(INDIRECT(ADDRESS(ROW($AO$4)+$AO20-1,COLUMN(AD$3)))=INDIRECT(ADDRESS(ROW(),COLUMN(AD$3))),"","NG")</f>
        <v>#VALUE!</v>
      </c>
      <c r="BD20" s="325" t="e" cm="1">
        <f t="array" aca="1" ref="BD20" ca="1">IF(INDIRECT(ADDRESS(ROW($AO$4)+$AO20-1,COLUMN(AF$3)))=INDIRECT(ADDRESS(ROW(),COLUMN(AF$3))),"","NG")</f>
        <v>#VALUE!</v>
      </c>
      <c r="BE20" s="325" t="e" cm="1">
        <f t="array" aca="1" ref="BE20" ca="1">IF(INDIRECT(ADDRESS(ROW($AO$4)+$AO20-1,COLUMN(AG$3)))=INDIRECT(ADDRESS(ROW(),COLUMN(AG$3))),"","NG")</f>
        <v>#VALUE!</v>
      </c>
      <c r="BF20" s="325" t="e" cm="1">
        <f t="array" aca="1" ref="BF20" ca="1">IF(INDIRECT(ADDRESS(ROW($AO$4)+$AO20-1,COLUMN(AH$3)))=INDIRECT(ADDRESS(ROW(),COLUMN(AH$3))),"","NG")</f>
        <v>#VALUE!</v>
      </c>
      <c r="BG20" s="325" t="e" cm="1">
        <f t="array" aca="1" ref="BG20" ca="1">IF(INDIRECT(ADDRESS(ROW($AO$4)+$AO20-1,COLUMN(AI$3)))=INDIRECT(ADDRESS(ROW(),COLUMN(AI$3))),"","NG")</f>
        <v>#VALUE!</v>
      </c>
      <c r="BH20" s="325" t="e" cm="1">
        <f t="array" aca="1" ref="BH20" ca="1">IF(INDIRECT(ADDRESS(ROW($AO$4)+$AO20-1,COLUMN(AJ$3)))=INDIRECT(ADDRESS(ROW(),COLUMN(AJ$3))),"","NG")</f>
        <v>#VALUE!</v>
      </c>
    </row>
    <row r="21" spans="1:60" x14ac:dyDescent="0.4">
      <c r="H21" s="305">
        <f t="shared" si="7"/>
        <v>18</v>
      </c>
      <c r="I21" s="80">
        <v>14</v>
      </c>
      <c r="J21" s="80">
        <v>2</v>
      </c>
      <c r="K21" s="277" t="str">
        <f t="shared" si="3"/>
        <v>9月30日(土)</v>
      </c>
      <c r="L21" s="312" t="str">
        <f t="shared" si="8"/>
        <v>(14) 第5課目A馬場馬術競技(公認)</v>
      </c>
      <c r="M21" s="81" t="s">
        <v>1785</v>
      </c>
      <c r="N21" s="280" t="s">
        <v>1779</v>
      </c>
      <c r="O21" s="283">
        <v>14000</v>
      </c>
      <c r="P21" s="283" t="s">
        <v>8</v>
      </c>
      <c r="Q21" s="283" t="s">
        <v>8</v>
      </c>
      <c r="R21" s="283" t="s">
        <v>8</v>
      </c>
      <c r="S21" s="271"/>
      <c r="T21" s="80">
        <f t="shared" si="4"/>
        <v>18</v>
      </c>
      <c r="U21" s="80">
        <f t="shared" si="5"/>
        <v>14</v>
      </c>
      <c r="V21" s="80" t="s">
        <v>11</v>
      </c>
      <c r="W21" s="80" t="s">
        <v>12</v>
      </c>
      <c r="X21" s="80">
        <v>1</v>
      </c>
      <c r="Y21" s="80">
        <v>1</v>
      </c>
      <c r="Z21" s="80">
        <v>1</v>
      </c>
      <c r="AA21" s="80">
        <v>1</v>
      </c>
      <c r="AB21" s="80">
        <v>1</v>
      </c>
      <c r="AC21" s="80">
        <v>1</v>
      </c>
      <c r="AD21" s="271" t="s">
        <v>253</v>
      </c>
      <c r="AE21" s="271" t="str">
        <f>IF(AD21&lt;&gt;"",VLOOKUP(AD21,リスト!$R$12:$S$18,2,FALSE),"")</f>
        <v>リスト!$J$2:$J$2</v>
      </c>
      <c r="AF21" s="271" t="s">
        <v>416</v>
      </c>
      <c r="AG21" s="308">
        <v>3</v>
      </c>
      <c r="AH21" s="308">
        <v>450</v>
      </c>
      <c r="AI21" s="308">
        <v>30</v>
      </c>
      <c r="AJ21" s="308">
        <v>12</v>
      </c>
      <c r="AK21" s="126"/>
      <c r="AM21" s="327" t="str">
        <f t="shared" si="9"/>
        <v>第5課目A馬場馬術競技公認</v>
      </c>
      <c r="AN21" s="44">
        <f t="shared" si="6"/>
        <v>21</v>
      </c>
      <c r="AO21" s="44">
        <f t="shared" si="10"/>
        <v>18</v>
      </c>
      <c r="AP21" s="325" t="e" cm="1">
        <f t="array" aca="1" ref="AP21" ca="1">IF(INDIRECT(ADDRESS(ROW($AO$4)+$AO21-1,COLUMN(O$3)))=INDIRECT(ADDRESS(ROW(),COLUMN(O$3))),"","NG")</f>
        <v>#VALUE!</v>
      </c>
      <c r="AQ21" s="325" t="e" cm="1">
        <f t="array" aca="1" ref="AQ21" ca="1">IF(INDIRECT(ADDRESS(ROW($AO$4)+$AO21-1,COLUMN(P$3)))=INDIRECT(ADDRESS(ROW(),COLUMN(P$3))),"","NG")</f>
        <v>#VALUE!</v>
      </c>
      <c r="AR21" s="325" t="e" cm="1">
        <f t="array" aca="1" ref="AR21" ca="1">IF(INDIRECT(ADDRESS(ROW($AO$4)+$AO21-1,COLUMN(Q$3)))=INDIRECT(ADDRESS(ROW(),COLUMN(Q$3))),"","NG")</f>
        <v>#VALUE!</v>
      </c>
      <c r="AS21" s="325" t="e" cm="1">
        <f t="array" aca="1" ref="AS21" ca="1">IF(INDIRECT(ADDRESS(ROW($AO$4)+$AO21-1,COLUMN(R$3)))=INDIRECT(ADDRESS(ROW(),COLUMN(R$3))),"","NG")</f>
        <v>#VALUE!</v>
      </c>
      <c r="AT21" s="325" t="e" cm="1">
        <f t="array" aca="1" ref="AT21" ca="1">IF(INDIRECT(ADDRESS(ROW($AO$4)+$AO21-1,COLUMN(S$3)))=INDIRECT(ADDRESS(ROW(),COLUMN(S$3))),"","NG")</f>
        <v>#VALUE!</v>
      </c>
      <c r="AU21" s="325" t="e" cm="1">
        <f t="array" aca="1" ref="AU21" ca="1">IF(INDIRECT(ADDRESS(ROW($AO$4)+$AO21-1,COLUMN(V$3)))=INDIRECT(ADDRESS(ROW(),COLUMN(V$3))),"","NG")</f>
        <v>#VALUE!</v>
      </c>
      <c r="AV21" s="325" t="e" cm="1">
        <f t="array" aca="1" ref="AV21" ca="1">IF(INDIRECT(ADDRESS(ROW($AO$4)+$AO21-1,COLUMN(W$3)))=INDIRECT(ADDRESS(ROW(),COLUMN(W$3))),"","NG")</f>
        <v>#VALUE!</v>
      </c>
      <c r="AW21" s="325" t="e" cm="1">
        <f t="array" aca="1" ref="AW21" ca="1">IF(INDIRECT(ADDRESS(ROW($AO$4)+$AO21-1,COLUMN(X$3)))=INDIRECT(ADDRESS(ROW(),COLUMN(X$3))),"","NG")</f>
        <v>#VALUE!</v>
      </c>
      <c r="AX21" s="325" t="e" cm="1">
        <f t="array" aca="1" ref="AX21" ca="1">IF(INDIRECT(ADDRESS(ROW($AO$4)+$AO21-1,COLUMN(Y$3)))=INDIRECT(ADDRESS(ROW(),COLUMN(Y$3))),"","NG")</f>
        <v>#VALUE!</v>
      </c>
      <c r="AY21" s="325" t="e" cm="1">
        <f t="array" aca="1" ref="AY21" ca="1">IF(INDIRECT(ADDRESS(ROW($AO$4)+$AO21-1,COLUMN(Z$3)))=INDIRECT(ADDRESS(ROW(),COLUMN(Z$3))),"","NG")</f>
        <v>#VALUE!</v>
      </c>
      <c r="AZ21" s="325" t="e" cm="1">
        <f t="array" aca="1" ref="AZ21" ca="1">IF(INDIRECT(ADDRESS(ROW($AO$4)+$AO21-1,COLUMN(AA$3)))=INDIRECT(ADDRESS(ROW(),COLUMN(AA$3))),"","NG")</f>
        <v>#VALUE!</v>
      </c>
      <c r="BA21" s="325" t="e" cm="1">
        <f t="array" aca="1" ref="BA21" ca="1">IF(INDIRECT(ADDRESS(ROW($AO$4)+$AO21-1,COLUMN(AB$3)))=INDIRECT(ADDRESS(ROW(),COLUMN(AB$3))),"","NG")</f>
        <v>#VALUE!</v>
      </c>
      <c r="BB21" s="325" t="e" cm="1">
        <f t="array" aca="1" ref="BB21" ca="1">IF(INDIRECT(ADDRESS(ROW($AO$4)+$AO21-1,COLUMN(AC$3)))=INDIRECT(ADDRESS(ROW(),COLUMN(AC$3))),"","NG")</f>
        <v>#VALUE!</v>
      </c>
      <c r="BC21" s="325" t="e" cm="1">
        <f t="array" aca="1" ref="BC21" ca="1">IF(INDIRECT(ADDRESS(ROW($AO$4)+$AO21-1,COLUMN(AD$3)))=INDIRECT(ADDRESS(ROW(),COLUMN(AD$3))),"","NG")</f>
        <v>#VALUE!</v>
      </c>
      <c r="BD21" s="325" t="e" cm="1">
        <f t="array" aca="1" ref="BD21" ca="1">IF(INDIRECT(ADDRESS(ROW($AO$4)+$AO21-1,COLUMN(AF$3)))=INDIRECT(ADDRESS(ROW(),COLUMN(AF$3))),"","NG")</f>
        <v>#VALUE!</v>
      </c>
      <c r="BE21" s="325" t="e" cm="1">
        <f t="array" aca="1" ref="BE21" ca="1">IF(INDIRECT(ADDRESS(ROW($AO$4)+$AO21-1,COLUMN(AG$3)))=INDIRECT(ADDRESS(ROW(),COLUMN(AG$3))),"","NG")</f>
        <v>#VALUE!</v>
      </c>
      <c r="BF21" s="325" t="e" cm="1">
        <f t="array" aca="1" ref="BF21" ca="1">IF(INDIRECT(ADDRESS(ROW($AO$4)+$AO21-1,COLUMN(AH$3)))=INDIRECT(ADDRESS(ROW(),COLUMN(AH$3))),"","NG")</f>
        <v>#VALUE!</v>
      </c>
      <c r="BG21" s="325" t="e" cm="1">
        <f t="array" aca="1" ref="BG21" ca="1">IF(INDIRECT(ADDRESS(ROW($AO$4)+$AO21-1,COLUMN(AI$3)))=INDIRECT(ADDRESS(ROW(),COLUMN(AI$3))),"","NG")</f>
        <v>#VALUE!</v>
      </c>
      <c r="BH21" s="325" t="e" cm="1">
        <f t="array" aca="1" ref="BH21" ca="1">IF(INDIRECT(ADDRESS(ROW($AO$4)+$AO21-1,COLUMN(AJ$3)))=INDIRECT(ADDRESS(ROW(),COLUMN(AJ$3))),"","NG")</f>
        <v>#VALUE!</v>
      </c>
    </row>
    <row r="22" spans="1:60" x14ac:dyDescent="0.4">
      <c r="H22" s="305">
        <f t="shared" si="7"/>
        <v>19</v>
      </c>
      <c r="I22" s="80">
        <v>15</v>
      </c>
      <c r="J22" s="80">
        <v>2</v>
      </c>
      <c r="K22" s="277" t="str">
        <f t="shared" si="3"/>
        <v>9月30日(土)</v>
      </c>
      <c r="L22" s="312" t="str">
        <f t="shared" si="8"/>
        <v>(15) JBG キャロット選手権(馬場)</v>
      </c>
      <c r="M22" s="81" t="s">
        <v>1780</v>
      </c>
      <c r="N22" s="280" t="s">
        <v>162</v>
      </c>
      <c r="O22" s="283" t="s">
        <v>8</v>
      </c>
      <c r="P22" s="283">
        <v>12000</v>
      </c>
      <c r="Q22" s="283" t="s">
        <v>8</v>
      </c>
      <c r="R22" s="283" t="s">
        <v>8</v>
      </c>
      <c r="S22" s="271" t="s">
        <v>1790</v>
      </c>
      <c r="T22" s="80">
        <f t="shared" si="4"/>
        <v>19</v>
      </c>
      <c r="U22" s="80">
        <f t="shared" si="5"/>
        <v>15</v>
      </c>
      <c r="V22" s="80" t="s">
        <v>392</v>
      </c>
      <c r="W22" s="80" t="s">
        <v>12</v>
      </c>
      <c r="X22" s="80">
        <v>0</v>
      </c>
      <c r="Y22" s="80">
        <v>1</v>
      </c>
      <c r="Z22" s="80">
        <v>0</v>
      </c>
      <c r="AA22" s="80">
        <v>0</v>
      </c>
      <c r="AB22" s="80">
        <v>0</v>
      </c>
      <c r="AC22" s="80">
        <v>0</v>
      </c>
      <c r="AD22" s="271" t="s">
        <v>254</v>
      </c>
      <c r="AE22" s="271" t="str">
        <f>IF(AD22&lt;&gt;"",VLOOKUP(AD22,リスト!$R$12:$S$18,2,FALSE),"")</f>
        <v>リスト!$J$3:$J$3</v>
      </c>
      <c r="AF22" s="271" t="s">
        <v>416</v>
      </c>
      <c r="AG22" s="308">
        <v>3</v>
      </c>
      <c r="AH22" s="308">
        <v>450</v>
      </c>
      <c r="AI22" s="308">
        <v>30</v>
      </c>
      <c r="AJ22" s="308">
        <v>12</v>
      </c>
      <c r="AK22" s="126"/>
      <c r="AM22" s="327" t="str">
        <f t="shared" si="9"/>
        <v>JBG キャロット選手権(馬場)-</v>
      </c>
      <c r="AN22" s="44">
        <f t="shared" si="6"/>
        <v>22</v>
      </c>
      <c r="AO22" s="44">
        <f t="shared" si="10"/>
        <v>19</v>
      </c>
      <c r="AP22" s="325" t="e" cm="1">
        <f t="array" aca="1" ref="AP22" ca="1">IF(INDIRECT(ADDRESS(ROW($AO$4)+$AO22-1,COLUMN(O$3)))=INDIRECT(ADDRESS(ROW(),COLUMN(O$3))),"","NG")</f>
        <v>#VALUE!</v>
      </c>
      <c r="AQ22" s="325" t="e" cm="1">
        <f t="array" aca="1" ref="AQ22" ca="1">IF(INDIRECT(ADDRESS(ROW($AO$4)+$AO22-1,COLUMN(P$3)))=INDIRECT(ADDRESS(ROW(),COLUMN(P$3))),"","NG")</f>
        <v>#VALUE!</v>
      </c>
      <c r="AR22" s="325" t="e" cm="1">
        <f t="array" aca="1" ref="AR22" ca="1">IF(INDIRECT(ADDRESS(ROW($AO$4)+$AO22-1,COLUMN(Q$3)))=INDIRECT(ADDRESS(ROW(),COLUMN(Q$3))),"","NG")</f>
        <v>#VALUE!</v>
      </c>
      <c r="AS22" s="325" t="e" cm="1">
        <f t="array" aca="1" ref="AS22" ca="1">IF(INDIRECT(ADDRESS(ROW($AO$4)+$AO22-1,COLUMN(R$3)))=INDIRECT(ADDRESS(ROW(),COLUMN(R$3))),"","NG")</f>
        <v>#VALUE!</v>
      </c>
      <c r="AT22" s="325" t="e" cm="1">
        <f t="array" aca="1" ref="AT22" ca="1">IF(INDIRECT(ADDRESS(ROW($AO$4)+$AO22-1,COLUMN(S$3)))=INDIRECT(ADDRESS(ROW(),COLUMN(S$3))),"","NG")</f>
        <v>#VALUE!</v>
      </c>
      <c r="AU22" s="325" t="e" cm="1">
        <f t="array" aca="1" ref="AU22" ca="1">IF(INDIRECT(ADDRESS(ROW($AO$4)+$AO22-1,COLUMN(V$3)))=INDIRECT(ADDRESS(ROW(),COLUMN(V$3))),"","NG")</f>
        <v>#VALUE!</v>
      </c>
      <c r="AV22" s="325" t="e" cm="1">
        <f t="array" aca="1" ref="AV22" ca="1">IF(INDIRECT(ADDRESS(ROW($AO$4)+$AO22-1,COLUMN(W$3)))=INDIRECT(ADDRESS(ROW(),COLUMN(W$3))),"","NG")</f>
        <v>#VALUE!</v>
      </c>
      <c r="AW22" s="325" t="e" cm="1">
        <f t="array" aca="1" ref="AW22" ca="1">IF(INDIRECT(ADDRESS(ROW($AO$4)+$AO22-1,COLUMN(X$3)))=INDIRECT(ADDRESS(ROW(),COLUMN(X$3))),"","NG")</f>
        <v>#VALUE!</v>
      </c>
      <c r="AX22" s="325" t="e" cm="1">
        <f t="array" aca="1" ref="AX22" ca="1">IF(INDIRECT(ADDRESS(ROW($AO$4)+$AO22-1,COLUMN(Y$3)))=INDIRECT(ADDRESS(ROW(),COLUMN(Y$3))),"","NG")</f>
        <v>#VALUE!</v>
      </c>
      <c r="AY22" s="325" t="e" cm="1">
        <f t="array" aca="1" ref="AY22" ca="1">IF(INDIRECT(ADDRESS(ROW($AO$4)+$AO22-1,COLUMN(Z$3)))=INDIRECT(ADDRESS(ROW(),COLUMN(Z$3))),"","NG")</f>
        <v>#VALUE!</v>
      </c>
      <c r="AZ22" s="325" t="e" cm="1">
        <f t="array" aca="1" ref="AZ22" ca="1">IF(INDIRECT(ADDRESS(ROW($AO$4)+$AO22-1,COLUMN(AA$3)))=INDIRECT(ADDRESS(ROW(),COLUMN(AA$3))),"","NG")</f>
        <v>#VALUE!</v>
      </c>
      <c r="BA22" s="325" t="e" cm="1">
        <f t="array" aca="1" ref="BA22" ca="1">IF(INDIRECT(ADDRESS(ROW($AO$4)+$AO22-1,COLUMN(AB$3)))=INDIRECT(ADDRESS(ROW(),COLUMN(AB$3))),"","NG")</f>
        <v>#VALUE!</v>
      </c>
      <c r="BB22" s="325" t="e" cm="1">
        <f t="array" aca="1" ref="BB22" ca="1">IF(INDIRECT(ADDRESS(ROW($AO$4)+$AO22-1,COLUMN(AC$3)))=INDIRECT(ADDRESS(ROW(),COLUMN(AC$3))),"","NG")</f>
        <v>#VALUE!</v>
      </c>
      <c r="BC22" s="325" t="e" cm="1">
        <f t="array" aca="1" ref="BC22" ca="1">IF(INDIRECT(ADDRESS(ROW($AO$4)+$AO22-1,COLUMN(AD$3)))=INDIRECT(ADDRESS(ROW(),COLUMN(AD$3))),"","NG")</f>
        <v>#VALUE!</v>
      </c>
      <c r="BD22" s="325" t="e" cm="1">
        <f t="array" aca="1" ref="BD22" ca="1">IF(INDIRECT(ADDRESS(ROW($AO$4)+$AO22-1,COLUMN(AF$3)))=INDIRECT(ADDRESS(ROW(),COLUMN(AF$3))),"","NG")</f>
        <v>#VALUE!</v>
      </c>
      <c r="BE22" s="325" t="e" cm="1">
        <f t="array" aca="1" ref="BE22" ca="1">IF(INDIRECT(ADDRESS(ROW($AO$4)+$AO22-1,COLUMN(AG$3)))=INDIRECT(ADDRESS(ROW(),COLUMN(AG$3))),"","NG")</f>
        <v>#VALUE!</v>
      </c>
      <c r="BF22" s="325" t="e" cm="1">
        <f t="array" aca="1" ref="BF22" ca="1">IF(INDIRECT(ADDRESS(ROW($AO$4)+$AO22-1,COLUMN(AH$3)))=INDIRECT(ADDRESS(ROW(),COLUMN(AH$3))),"","NG")</f>
        <v>#VALUE!</v>
      </c>
      <c r="BG22" s="325" t="e" cm="1">
        <f t="array" aca="1" ref="BG22" ca="1">IF(INDIRECT(ADDRESS(ROW($AO$4)+$AO22-1,COLUMN(AI$3)))=INDIRECT(ADDRESS(ROW(),COLUMN(AI$3))),"","NG")</f>
        <v>#VALUE!</v>
      </c>
      <c r="BH22" s="325" t="e" cm="1">
        <f t="array" aca="1" ref="BH22" ca="1">IF(INDIRECT(ADDRESS(ROW($AO$4)+$AO22-1,COLUMN(AJ$3)))=INDIRECT(ADDRESS(ROW(),COLUMN(AJ$3))),"","NG")</f>
        <v>#VALUE!</v>
      </c>
    </row>
    <row r="23" spans="1:60" x14ac:dyDescent="0.4">
      <c r="H23" s="305">
        <f t="shared" si="7"/>
        <v>20</v>
      </c>
      <c r="I23" s="80">
        <v>16</v>
      </c>
      <c r="J23" s="80">
        <v>2</v>
      </c>
      <c r="K23" s="277" t="str">
        <f t="shared" si="3"/>
        <v>9月30日(土)</v>
      </c>
      <c r="L23" s="312" t="str">
        <f t="shared" si="8"/>
        <v>(16) 第3課目A馬場馬術競技</v>
      </c>
      <c r="M23" s="81" t="s">
        <v>1781</v>
      </c>
      <c r="N23" s="280" t="s">
        <v>162</v>
      </c>
      <c r="O23" s="283">
        <v>12000</v>
      </c>
      <c r="P23" s="283">
        <v>10000</v>
      </c>
      <c r="Q23" s="283">
        <v>10000</v>
      </c>
      <c r="R23" s="283">
        <v>10000</v>
      </c>
      <c r="S23" s="271"/>
      <c r="T23" s="80">
        <f t="shared" si="4"/>
        <v>20</v>
      </c>
      <c r="U23" s="80">
        <f t="shared" si="5"/>
        <v>16</v>
      </c>
      <c r="V23" s="80" t="s">
        <v>392</v>
      </c>
      <c r="W23" s="80" t="s">
        <v>1755</v>
      </c>
      <c r="X23" s="80">
        <v>1</v>
      </c>
      <c r="Y23" s="80">
        <v>1</v>
      </c>
      <c r="Z23" s="80">
        <v>1</v>
      </c>
      <c r="AA23" s="80">
        <v>1</v>
      </c>
      <c r="AB23" s="80">
        <v>1</v>
      </c>
      <c r="AC23" s="80">
        <v>1</v>
      </c>
      <c r="AD23" s="271" t="s">
        <v>251</v>
      </c>
      <c r="AE23" s="271" t="str">
        <f>IF(AD23&lt;&gt;"",VLOOKUP(AD23,リスト!$R$12:$S$18,2,FALSE),"")</f>
        <v>リスト!$J$2:$J$5</v>
      </c>
      <c r="AF23" s="271" t="s">
        <v>416</v>
      </c>
      <c r="AG23" s="308">
        <v>3</v>
      </c>
      <c r="AH23" s="308">
        <v>450</v>
      </c>
      <c r="AI23" s="308">
        <v>30</v>
      </c>
      <c r="AJ23" s="308">
        <v>12</v>
      </c>
      <c r="AK23" s="126"/>
      <c r="AM23" s="327" t="str">
        <f t="shared" si="9"/>
        <v>第3課目A馬場馬術競技-</v>
      </c>
      <c r="AN23" s="44">
        <f t="shared" si="6"/>
        <v>23</v>
      </c>
      <c r="AO23" s="44">
        <f t="shared" si="10"/>
        <v>20</v>
      </c>
      <c r="AP23" s="325" t="e" cm="1">
        <f t="array" aca="1" ref="AP23" ca="1">IF(INDIRECT(ADDRESS(ROW($AO$4)+$AO23-1,COLUMN(O$3)))=INDIRECT(ADDRESS(ROW(),COLUMN(O$3))),"","NG")</f>
        <v>#VALUE!</v>
      </c>
      <c r="AQ23" s="325" t="e" cm="1">
        <f t="array" aca="1" ref="AQ23" ca="1">IF(INDIRECT(ADDRESS(ROW($AO$4)+$AO23-1,COLUMN(P$3)))=INDIRECT(ADDRESS(ROW(),COLUMN(P$3))),"","NG")</f>
        <v>#VALUE!</v>
      </c>
      <c r="AR23" s="325" t="e" cm="1">
        <f t="array" aca="1" ref="AR23" ca="1">IF(INDIRECT(ADDRESS(ROW($AO$4)+$AO23-1,COLUMN(Q$3)))=INDIRECT(ADDRESS(ROW(),COLUMN(Q$3))),"","NG")</f>
        <v>#VALUE!</v>
      </c>
      <c r="AS23" s="325" t="e" cm="1">
        <f t="array" aca="1" ref="AS23" ca="1">IF(INDIRECT(ADDRESS(ROW($AO$4)+$AO23-1,COLUMN(R$3)))=INDIRECT(ADDRESS(ROW(),COLUMN(R$3))),"","NG")</f>
        <v>#VALUE!</v>
      </c>
      <c r="AT23" s="325" t="e" cm="1">
        <f t="array" aca="1" ref="AT23" ca="1">IF(INDIRECT(ADDRESS(ROW($AO$4)+$AO23-1,COLUMN(S$3)))=INDIRECT(ADDRESS(ROW(),COLUMN(S$3))),"","NG")</f>
        <v>#VALUE!</v>
      </c>
      <c r="AU23" s="325" t="e" cm="1">
        <f t="array" aca="1" ref="AU23" ca="1">IF(INDIRECT(ADDRESS(ROW($AO$4)+$AO23-1,COLUMN(V$3)))=INDIRECT(ADDRESS(ROW(),COLUMN(V$3))),"","NG")</f>
        <v>#VALUE!</v>
      </c>
      <c r="AV23" s="325" t="e" cm="1">
        <f t="array" aca="1" ref="AV23" ca="1">IF(INDIRECT(ADDRESS(ROW($AO$4)+$AO23-1,COLUMN(W$3)))=INDIRECT(ADDRESS(ROW(),COLUMN(W$3))),"","NG")</f>
        <v>#VALUE!</v>
      </c>
      <c r="AW23" s="325" t="e" cm="1">
        <f t="array" aca="1" ref="AW23" ca="1">IF(INDIRECT(ADDRESS(ROW($AO$4)+$AO23-1,COLUMN(X$3)))=INDIRECT(ADDRESS(ROW(),COLUMN(X$3))),"","NG")</f>
        <v>#VALUE!</v>
      </c>
      <c r="AX23" s="325" t="e" cm="1">
        <f t="array" aca="1" ref="AX23" ca="1">IF(INDIRECT(ADDRESS(ROW($AO$4)+$AO23-1,COLUMN(Y$3)))=INDIRECT(ADDRESS(ROW(),COLUMN(Y$3))),"","NG")</f>
        <v>#VALUE!</v>
      </c>
      <c r="AY23" s="325" t="e" cm="1">
        <f t="array" aca="1" ref="AY23" ca="1">IF(INDIRECT(ADDRESS(ROW($AO$4)+$AO23-1,COLUMN(Z$3)))=INDIRECT(ADDRESS(ROW(),COLUMN(Z$3))),"","NG")</f>
        <v>#VALUE!</v>
      </c>
      <c r="AZ23" s="325" t="e" cm="1">
        <f t="array" aca="1" ref="AZ23" ca="1">IF(INDIRECT(ADDRESS(ROW($AO$4)+$AO23-1,COLUMN(AA$3)))=INDIRECT(ADDRESS(ROW(),COLUMN(AA$3))),"","NG")</f>
        <v>#VALUE!</v>
      </c>
      <c r="BA23" s="325" t="e" cm="1">
        <f t="array" aca="1" ref="BA23" ca="1">IF(INDIRECT(ADDRESS(ROW($AO$4)+$AO23-1,COLUMN(AB$3)))=INDIRECT(ADDRESS(ROW(),COLUMN(AB$3))),"","NG")</f>
        <v>#VALUE!</v>
      </c>
      <c r="BB23" s="325" t="e" cm="1">
        <f t="array" aca="1" ref="BB23" ca="1">IF(INDIRECT(ADDRESS(ROW($AO$4)+$AO23-1,COLUMN(AC$3)))=INDIRECT(ADDRESS(ROW(),COLUMN(AC$3))),"","NG")</f>
        <v>#VALUE!</v>
      </c>
      <c r="BC23" s="325" t="e" cm="1">
        <f t="array" aca="1" ref="BC23" ca="1">IF(INDIRECT(ADDRESS(ROW($AO$4)+$AO23-1,COLUMN(AD$3)))=INDIRECT(ADDRESS(ROW(),COLUMN(AD$3))),"","NG")</f>
        <v>#VALUE!</v>
      </c>
      <c r="BD23" s="325" t="e" cm="1">
        <f t="array" aca="1" ref="BD23" ca="1">IF(INDIRECT(ADDRESS(ROW($AO$4)+$AO23-1,COLUMN(AF$3)))=INDIRECT(ADDRESS(ROW(),COLUMN(AF$3))),"","NG")</f>
        <v>#VALUE!</v>
      </c>
      <c r="BE23" s="325" t="e" cm="1">
        <f t="array" aca="1" ref="BE23" ca="1">IF(INDIRECT(ADDRESS(ROW($AO$4)+$AO23-1,COLUMN(AG$3)))=INDIRECT(ADDRESS(ROW(),COLUMN(AG$3))),"","NG")</f>
        <v>#VALUE!</v>
      </c>
      <c r="BF23" s="325" t="e" cm="1">
        <f t="array" aca="1" ref="BF23" ca="1">IF(INDIRECT(ADDRESS(ROW($AO$4)+$AO23-1,COLUMN(AH$3)))=INDIRECT(ADDRESS(ROW(),COLUMN(AH$3))),"","NG")</f>
        <v>#VALUE!</v>
      </c>
      <c r="BG23" s="325" t="e" cm="1">
        <f t="array" aca="1" ref="BG23" ca="1">IF(INDIRECT(ADDRESS(ROW($AO$4)+$AO23-1,COLUMN(AI$3)))=INDIRECT(ADDRESS(ROW(),COLUMN(AI$3))),"","NG")</f>
        <v>#VALUE!</v>
      </c>
      <c r="BH23" s="325" t="e" cm="1">
        <f t="array" aca="1" ref="BH23" ca="1">IF(INDIRECT(ADDRESS(ROW($AO$4)+$AO23-1,COLUMN(AJ$3)))=INDIRECT(ADDRESS(ROW(),COLUMN(AJ$3))),"","NG")</f>
        <v>#VALUE!</v>
      </c>
    </row>
    <row r="24" spans="1:60" ht="19.5" thickBot="1" x14ac:dyDescent="0.45">
      <c r="H24" s="304">
        <f t="shared" si="7"/>
        <v>21</v>
      </c>
      <c r="I24" s="179">
        <v>17</v>
      </c>
      <c r="J24" s="179">
        <v>2</v>
      </c>
      <c r="K24" s="278" t="str">
        <f t="shared" si="3"/>
        <v>9月30日(土)</v>
      </c>
      <c r="L24" s="311" t="str">
        <f t="shared" si="8"/>
        <v>(17) 自由選択課目</v>
      </c>
      <c r="M24" s="272" t="s">
        <v>10</v>
      </c>
      <c r="N24" s="281" t="s">
        <v>162</v>
      </c>
      <c r="O24" s="284">
        <v>12000</v>
      </c>
      <c r="P24" s="284">
        <v>10000</v>
      </c>
      <c r="Q24" s="284">
        <v>10000</v>
      </c>
      <c r="R24" s="284">
        <v>10000</v>
      </c>
      <c r="S24" s="273"/>
      <c r="T24" s="179">
        <f t="shared" si="4"/>
        <v>21</v>
      </c>
      <c r="U24" s="179">
        <f t="shared" si="5"/>
        <v>17</v>
      </c>
      <c r="V24" s="179" t="s">
        <v>12</v>
      </c>
      <c r="W24" s="179" t="s">
        <v>392</v>
      </c>
      <c r="X24" s="179">
        <v>1</v>
      </c>
      <c r="Y24" s="179">
        <v>1</v>
      </c>
      <c r="Z24" s="179">
        <v>1</v>
      </c>
      <c r="AA24" s="179">
        <v>1</v>
      </c>
      <c r="AB24" s="179">
        <v>1</v>
      </c>
      <c r="AC24" s="179">
        <v>1</v>
      </c>
      <c r="AD24" s="273" t="s">
        <v>384</v>
      </c>
      <c r="AE24" s="273" t="str">
        <f>IF(AD24&lt;&gt;"",VLOOKUP(AD24,リスト!$R$12:$S$18,2,FALSE),"")</f>
        <v>リスト!$J$2:$J$4</v>
      </c>
      <c r="AF24" s="273" t="s">
        <v>416</v>
      </c>
      <c r="AG24" s="307">
        <v>3</v>
      </c>
      <c r="AH24" s="307">
        <v>450</v>
      </c>
      <c r="AI24" s="307">
        <v>30</v>
      </c>
      <c r="AJ24" s="307">
        <v>12</v>
      </c>
      <c r="AK24" s="128"/>
      <c r="AM24" s="327" t="str">
        <f t="shared" si="9"/>
        <v>自由選択課目-</v>
      </c>
      <c r="AN24" s="44">
        <f t="shared" si="6"/>
        <v>24</v>
      </c>
      <c r="AO24" s="44">
        <f t="shared" si="10"/>
        <v>21</v>
      </c>
      <c r="AP24" s="325" t="e" cm="1">
        <f t="array" aca="1" ref="AP24" ca="1">IF(INDIRECT(ADDRESS(ROW($AO$4)+$AO24-1,COLUMN(O$3)))=INDIRECT(ADDRESS(ROW(),COLUMN(O$3))),"","NG")</f>
        <v>#VALUE!</v>
      </c>
      <c r="AQ24" s="325" t="e" cm="1">
        <f t="array" aca="1" ref="AQ24" ca="1">IF(INDIRECT(ADDRESS(ROW($AO$4)+$AO24-1,COLUMN(P$3)))=INDIRECT(ADDRESS(ROW(),COLUMN(P$3))),"","NG")</f>
        <v>#VALUE!</v>
      </c>
      <c r="AR24" s="325" t="e" cm="1">
        <f t="array" aca="1" ref="AR24" ca="1">IF(INDIRECT(ADDRESS(ROW($AO$4)+$AO24-1,COLUMN(Q$3)))=INDIRECT(ADDRESS(ROW(),COLUMN(Q$3))),"","NG")</f>
        <v>#VALUE!</v>
      </c>
      <c r="AS24" s="325" t="e" cm="1">
        <f t="array" aca="1" ref="AS24" ca="1">IF(INDIRECT(ADDRESS(ROW($AO$4)+$AO24-1,COLUMN(R$3)))=INDIRECT(ADDRESS(ROW(),COLUMN(R$3))),"","NG")</f>
        <v>#VALUE!</v>
      </c>
      <c r="AT24" s="325" t="e" cm="1">
        <f t="array" aca="1" ref="AT24" ca="1">IF(INDIRECT(ADDRESS(ROW($AO$4)+$AO24-1,COLUMN(S$3)))=INDIRECT(ADDRESS(ROW(),COLUMN(S$3))),"","NG")</f>
        <v>#VALUE!</v>
      </c>
      <c r="AU24" s="325" t="e" cm="1">
        <f t="array" aca="1" ref="AU24" ca="1">IF(INDIRECT(ADDRESS(ROW($AO$4)+$AO24-1,COLUMN(V$3)))=INDIRECT(ADDRESS(ROW(),COLUMN(V$3))),"","NG")</f>
        <v>#VALUE!</v>
      </c>
      <c r="AV24" s="325" t="e" cm="1">
        <f t="array" aca="1" ref="AV24" ca="1">IF(INDIRECT(ADDRESS(ROW($AO$4)+$AO24-1,COLUMN(W$3)))=INDIRECT(ADDRESS(ROW(),COLUMN(W$3))),"","NG")</f>
        <v>#VALUE!</v>
      </c>
      <c r="AW24" s="325" t="e" cm="1">
        <f t="array" aca="1" ref="AW24" ca="1">IF(INDIRECT(ADDRESS(ROW($AO$4)+$AO24-1,COLUMN(X$3)))=INDIRECT(ADDRESS(ROW(),COLUMN(X$3))),"","NG")</f>
        <v>#VALUE!</v>
      </c>
      <c r="AX24" s="325" t="e" cm="1">
        <f t="array" aca="1" ref="AX24" ca="1">IF(INDIRECT(ADDRESS(ROW($AO$4)+$AO24-1,COLUMN(Y$3)))=INDIRECT(ADDRESS(ROW(),COLUMN(Y$3))),"","NG")</f>
        <v>#VALUE!</v>
      </c>
      <c r="AY24" s="325" t="e" cm="1">
        <f t="array" aca="1" ref="AY24" ca="1">IF(INDIRECT(ADDRESS(ROW($AO$4)+$AO24-1,COLUMN(Z$3)))=INDIRECT(ADDRESS(ROW(),COLUMN(Z$3))),"","NG")</f>
        <v>#VALUE!</v>
      </c>
      <c r="AZ24" s="325" t="e" cm="1">
        <f t="array" aca="1" ref="AZ24" ca="1">IF(INDIRECT(ADDRESS(ROW($AO$4)+$AO24-1,COLUMN(AA$3)))=INDIRECT(ADDRESS(ROW(),COLUMN(AA$3))),"","NG")</f>
        <v>#VALUE!</v>
      </c>
      <c r="BA24" s="325" t="e" cm="1">
        <f t="array" aca="1" ref="BA24" ca="1">IF(INDIRECT(ADDRESS(ROW($AO$4)+$AO24-1,COLUMN(AB$3)))=INDIRECT(ADDRESS(ROW(),COLUMN(AB$3))),"","NG")</f>
        <v>#VALUE!</v>
      </c>
      <c r="BB24" s="325" t="e" cm="1">
        <f t="array" aca="1" ref="BB24" ca="1">IF(INDIRECT(ADDRESS(ROW($AO$4)+$AO24-1,COLUMN(AC$3)))=INDIRECT(ADDRESS(ROW(),COLUMN(AC$3))),"","NG")</f>
        <v>#VALUE!</v>
      </c>
      <c r="BC24" s="325" t="e" cm="1">
        <f t="array" aca="1" ref="BC24" ca="1">IF(INDIRECT(ADDRESS(ROW($AO$4)+$AO24-1,COLUMN(AD$3)))=INDIRECT(ADDRESS(ROW(),COLUMN(AD$3))),"","NG")</f>
        <v>#VALUE!</v>
      </c>
      <c r="BD24" s="325" t="e" cm="1">
        <f t="array" aca="1" ref="BD24" ca="1">IF(INDIRECT(ADDRESS(ROW($AO$4)+$AO24-1,COLUMN(AF$3)))=INDIRECT(ADDRESS(ROW(),COLUMN(AF$3))),"","NG")</f>
        <v>#VALUE!</v>
      </c>
      <c r="BE24" s="325" t="e" cm="1">
        <f t="array" aca="1" ref="BE24" ca="1">IF(INDIRECT(ADDRESS(ROW($AO$4)+$AO24-1,COLUMN(AG$3)))=INDIRECT(ADDRESS(ROW(),COLUMN(AG$3))),"","NG")</f>
        <v>#VALUE!</v>
      </c>
      <c r="BF24" s="325" t="e" cm="1">
        <f t="array" aca="1" ref="BF24" ca="1">IF(INDIRECT(ADDRESS(ROW($AO$4)+$AO24-1,COLUMN(AH$3)))=INDIRECT(ADDRESS(ROW(),COLUMN(AH$3))),"","NG")</f>
        <v>#VALUE!</v>
      </c>
      <c r="BG24" s="325" t="e" cm="1">
        <f t="array" aca="1" ref="BG24" ca="1">IF(INDIRECT(ADDRESS(ROW($AO$4)+$AO24-1,COLUMN(AI$3)))=INDIRECT(ADDRESS(ROW(),COLUMN(AI$3))),"","NG")</f>
        <v>#VALUE!</v>
      </c>
      <c r="BH24" s="325" t="e" cm="1">
        <f t="array" aca="1" ref="BH24" ca="1">IF(INDIRECT(ADDRESS(ROW($AO$4)+$AO24-1,COLUMN(AJ$3)))=INDIRECT(ADDRESS(ROW(),COLUMN(AJ$3))),"","NG")</f>
        <v>#VALUE!</v>
      </c>
    </row>
    <row r="25" spans="1:60" x14ac:dyDescent="0.4">
      <c r="H25" s="371">
        <f t="shared" si="7"/>
        <v>22</v>
      </c>
      <c r="I25" s="372">
        <v>18</v>
      </c>
      <c r="J25" s="372">
        <v>3</v>
      </c>
      <c r="K25" s="373" t="str">
        <f t="shared" si="3"/>
        <v>10月1日(日)</v>
      </c>
      <c r="L25" s="374" t="str">
        <f t="shared" si="8"/>
        <v>(18) ジムカーナ競技(一般)</v>
      </c>
      <c r="M25" s="375" t="s">
        <v>1786</v>
      </c>
      <c r="N25" s="376" t="s">
        <v>1775</v>
      </c>
      <c r="O25" s="377">
        <v>7000</v>
      </c>
      <c r="P25" s="377">
        <v>6000</v>
      </c>
      <c r="Q25" s="377">
        <v>6000</v>
      </c>
      <c r="R25" s="377">
        <v>6000</v>
      </c>
      <c r="S25" s="378"/>
      <c r="T25" s="372">
        <f t="shared" si="4"/>
        <v>22</v>
      </c>
      <c r="U25" s="372">
        <f t="shared" si="5"/>
        <v>18</v>
      </c>
      <c r="V25" s="379" t="s">
        <v>12</v>
      </c>
      <c r="W25" s="379" t="s">
        <v>1755</v>
      </c>
      <c r="X25" s="379">
        <v>1</v>
      </c>
      <c r="Y25" s="379">
        <v>1</v>
      </c>
      <c r="Z25" s="379">
        <v>1</v>
      </c>
      <c r="AA25" s="379">
        <v>1</v>
      </c>
      <c r="AB25" s="379">
        <v>1</v>
      </c>
      <c r="AC25" s="379">
        <v>1</v>
      </c>
      <c r="AD25" s="378" t="s">
        <v>251</v>
      </c>
      <c r="AE25" s="378" t="str">
        <f>IF(AD25&lt;&gt;"",VLOOKUP(AD25,リスト!$R$12:$S$18,2,FALSE),"")</f>
        <v>リスト!$J$2:$J$5</v>
      </c>
      <c r="AF25" s="378" t="s">
        <v>409</v>
      </c>
      <c r="AG25" s="74">
        <v>2</v>
      </c>
      <c r="AH25" s="74">
        <v>450</v>
      </c>
      <c r="AI25" s="74">
        <v>30</v>
      </c>
      <c r="AJ25" s="74">
        <v>0</v>
      </c>
      <c r="AK25" s="380"/>
      <c r="AM25" s="327" t="str">
        <f t="shared" si="9"/>
        <v>ジムカーナ競技一般</v>
      </c>
      <c r="AN25" s="44">
        <f t="shared" si="6"/>
        <v>25</v>
      </c>
      <c r="AO25" s="44">
        <f t="shared" si="10"/>
        <v>22</v>
      </c>
      <c r="AP25" s="325" t="e" cm="1">
        <f t="array" aca="1" ref="AP25" ca="1">IF(INDIRECT(ADDRESS(ROW($AO$4)+$AO25-1,COLUMN(O$3)))=INDIRECT(ADDRESS(ROW(),COLUMN(O$3))),"","NG")</f>
        <v>#VALUE!</v>
      </c>
      <c r="AQ25" s="325" t="e" cm="1">
        <f t="array" aca="1" ref="AQ25" ca="1">IF(INDIRECT(ADDRESS(ROW($AO$4)+$AO25-1,COLUMN(P$3)))=INDIRECT(ADDRESS(ROW(),COLUMN(P$3))),"","NG")</f>
        <v>#VALUE!</v>
      </c>
      <c r="AR25" s="325" t="e" cm="1">
        <f t="array" aca="1" ref="AR25" ca="1">IF(INDIRECT(ADDRESS(ROW($AO$4)+$AO25-1,COLUMN(Q$3)))=INDIRECT(ADDRESS(ROW(),COLUMN(Q$3))),"","NG")</f>
        <v>#VALUE!</v>
      </c>
      <c r="AS25" s="325" t="e" cm="1">
        <f t="array" aca="1" ref="AS25" ca="1">IF(INDIRECT(ADDRESS(ROW($AO$4)+$AO25-1,COLUMN(R$3)))=INDIRECT(ADDRESS(ROW(),COLUMN(R$3))),"","NG")</f>
        <v>#VALUE!</v>
      </c>
      <c r="AT25" s="325" t="e" cm="1">
        <f t="array" aca="1" ref="AT25" ca="1">IF(INDIRECT(ADDRESS(ROW($AO$4)+$AO25-1,COLUMN(S$3)))=INDIRECT(ADDRESS(ROW(),COLUMN(S$3))),"","NG")</f>
        <v>#VALUE!</v>
      </c>
      <c r="AU25" s="325" t="e" cm="1">
        <f t="array" aca="1" ref="AU25" ca="1">IF(INDIRECT(ADDRESS(ROW($AO$4)+$AO25-1,COLUMN(V$3)))=INDIRECT(ADDRESS(ROW(),COLUMN(V$3))),"","NG")</f>
        <v>#VALUE!</v>
      </c>
      <c r="AV25" s="325" t="e" cm="1">
        <f t="array" aca="1" ref="AV25" ca="1">IF(INDIRECT(ADDRESS(ROW($AO$4)+$AO25-1,COLUMN(W$3)))=INDIRECT(ADDRESS(ROW(),COLUMN(W$3))),"","NG")</f>
        <v>#VALUE!</v>
      </c>
      <c r="AW25" s="325" t="e" cm="1">
        <f t="array" aca="1" ref="AW25" ca="1">IF(INDIRECT(ADDRESS(ROW($AO$4)+$AO25-1,COLUMN(X$3)))=INDIRECT(ADDRESS(ROW(),COLUMN(X$3))),"","NG")</f>
        <v>#VALUE!</v>
      </c>
      <c r="AX25" s="325" t="e" cm="1">
        <f t="array" aca="1" ref="AX25" ca="1">IF(INDIRECT(ADDRESS(ROW($AO$4)+$AO25-1,COLUMN(Y$3)))=INDIRECT(ADDRESS(ROW(),COLUMN(Y$3))),"","NG")</f>
        <v>#VALUE!</v>
      </c>
      <c r="AY25" s="325" t="e" cm="1">
        <f t="array" aca="1" ref="AY25" ca="1">IF(INDIRECT(ADDRESS(ROW($AO$4)+$AO25-1,COLUMN(Z$3)))=INDIRECT(ADDRESS(ROW(),COLUMN(Z$3))),"","NG")</f>
        <v>#VALUE!</v>
      </c>
      <c r="AZ25" s="325" t="e" cm="1">
        <f t="array" aca="1" ref="AZ25" ca="1">IF(INDIRECT(ADDRESS(ROW($AO$4)+$AO25-1,COLUMN(AA$3)))=INDIRECT(ADDRESS(ROW(),COLUMN(AA$3))),"","NG")</f>
        <v>#VALUE!</v>
      </c>
      <c r="BA25" s="325" t="e" cm="1">
        <f t="array" aca="1" ref="BA25" ca="1">IF(INDIRECT(ADDRESS(ROW($AO$4)+$AO25-1,COLUMN(AB$3)))=INDIRECT(ADDRESS(ROW(),COLUMN(AB$3))),"","NG")</f>
        <v>#VALUE!</v>
      </c>
      <c r="BB25" s="325" t="e" cm="1">
        <f t="array" aca="1" ref="BB25" ca="1">IF(INDIRECT(ADDRESS(ROW($AO$4)+$AO25-1,COLUMN(AC$3)))=INDIRECT(ADDRESS(ROW(),COLUMN(AC$3))),"","NG")</f>
        <v>#VALUE!</v>
      </c>
      <c r="BC25" s="325" t="e" cm="1">
        <f t="array" aca="1" ref="BC25" ca="1">IF(INDIRECT(ADDRESS(ROW($AO$4)+$AO25-1,COLUMN(AD$3)))=INDIRECT(ADDRESS(ROW(),COLUMN(AD$3))),"","NG")</f>
        <v>#VALUE!</v>
      </c>
      <c r="BD25" s="325" t="e" cm="1">
        <f t="array" aca="1" ref="BD25" ca="1">IF(INDIRECT(ADDRESS(ROW($AO$4)+$AO25-1,COLUMN(AF$3)))=INDIRECT(ADDRESS(ROW(),COLUMN(AF$3))),"","NG")</f>
        <v>#VALUE!</v>
      </c>
      <c r="BE25" s="325" t="e" cm="1">
        <f t="array" aca="1" ref="BE25" ca="1">IF(INDIRECT(ADDRESS(ROW($AO$4)+$AO25-1,COLUMN(AG$3)))=INDIRECT(ADDRESS(ROW(),COLUMN(AG$3))),"","NG")</f>
        <v>#VALUE!</v>
      </c>
      <c r="BF25" s="325" t="e" cm="1">
        <f t="array" aca="1" ref="BF25" ca="1">IF(INDIRECT(ADDRESS(ROW($AO$4)+$AO25-1,COLUMN(AH$3)))=INDIRECT(ADDRESS(ROW(),COLUMN(AH$3))),"","NG")</f>
        <v>#VALUE!</v>
      </c>
      <c r="BG25" s="325" t="e" cm="1">
        <f t="array" aca="1" ref="BG25" ca="1">IF(INDIRECT(ADDRESS(ROW($AO$4)+$AO25-1,COLUMN(AI$3)))=INDIRECT(ADDRESS(ROW(),COLUMN(AI$3))),"","NG")</f>
        <v>#VALUE!</v>
      </c>
      <c r="BH25" s="325" t="e" cm="1">
        <f t="array" aca="1" ref="BH25" ca="1">IF(INDIRECT(ADDRESS(ROW($AO$4)+$AO25-1,COLUMN(AJ$3)))=INDIRECT(ADDRESS(ROW(),COLUMN(AJ$3))),"","NG")</f>
        <v>#VALUE!</v>
      </c>
    </row>
    <row r="26" spans="1:60" x14ac:dyDescent="0.4">
      <c r="H26" s="305">
        <f t="shared" si="7"/>
        <v>23</v>
      </c>
      <c r="I26" s="80">
        <v>18</v>
      </c>
      <c r="J26" s="80">
        <v>3</v>
      </c>
      <c r="K26" s="277" t="str">
        <f t="shared" si="3"/>
        <v>10月1日(日)</v>
      </c>
      <c r="L26" s="312" t="str">
        <f t="shared" si="8"/>
        <v>(18) ジムカーナ競技(チルドレン)</v>
      </c>
      <c r="M26" s="81" t="s">
        <v>1786</v>
      </c>
      <c r="N26" s="280" t="s">
        <v>2</v>
      </c>
      <c r="O26" s="283" t="s">
        <v>8</v>
      </c>
      <c r="P26" s="283" t="s">
        <v>8</v>
      </c>
      <c r="Q26" s="283">
        <v>6000</v>
      </c>
      <c r="R26" s="283" t="s">
        <v>8</v>
      </c>
      <c r="S26" s="271" t="s">
        <v>94</v>
      </c>
      <c r="T26" s="80">
        <f t="shared" si="4"/>
        <v>23</v>
      </c>
      <c r="U26" s="80">
        <f t="shared" si="5"/>
        <v>18</v>
      </c>
      <c r="V26" s="370" t="s">
        <v>12</v>
      </c>
      <c r="W26" s="370" t="s">
        <v>392</v>
      </c>
      <c r="X26" s="370">
        <v>1</v>
      </c>
      <c r="Y26" s="370">
        <v>1</v>
      </c>
      <c r="Z26" s="370">
        <v>1</v>
      </c>
      <c r="AA26" s="370">
        <v>1</v>
      </c>
      <c r="AB26" s="370">
        <v>1</v>
      </c>
      <c r="AC26" s="370">
        <v>1</v>
      </c>
      <c r="AD26" s="271" t="s">
        <v>255</v>
      </c>
      <c r="AE26" s="271" t="str">
        <f>IF(AD26&lt;&gt;"",VLOOKUP(AD26,リスト!$R$12:$S$18,2,FALSE),"")</f>
        <v>リスト!$J$4:$J$4</v>
      </c>
      <c r="AF26" s="271" t="s">
        <v>411</v>
      </c>
      <c r="AG26" s="308">
        <v>2</v>
      </c>
      <c r="AH26" s="308">
        <v>90</v>
      </c>
      <c r="AI26" s="308">
        <v>30</v>
      </c>
      <c r="AJ26" s="308">
        <v>0</v>
      </c>
      <c r="AK26" s="126"/>
      <c r="AM26" s="327" t="str">
        <f t="shared" si="9"/>
        <v>ジムカーナ競技チルドレン</v>
      </c>
      <c r="AN26" s="44">
        <f t="shared" si="6"/>
        <v>26</v>
      </c>
      <c r="AO26" s="44">
        <f t="shared" si="10"/>
        <v>23</v>
      </c>
      <c r="AP26" s="325" t="e" cm="1">
        <f t="array" aca="1" ref="AP26" ca="1">IF(INDIRECT(ADDRESS(ROW($AO$4)+$AO26-1,COLUMN(O$3)))=INDIRECT(ADDRESS(ROW(),COLUMN(O$3))),"","NG")</f>
        <v>#VALUE!</v>
      </c>
      <c r="AQ26" s="325" t="e" cm="1">
        <f t="array" aca="1" ref="AQ26" ca="1">IF(INDIRECT(ADDRESS(ROW($AO$4)+$AO26-1,COLUMN(P$3)))=INDIRECT(ADDRESS(ROW(),COLUMN(P$3))),"","NG")</f>
        <v>#VALUE!</v>
      </c>
      <c r="AR26" s="325" t="e" cm="1">
        <f t="array" aca="1" ref="AR26" ca="1">IF(INDIRECT(ADDRESS(ROW($AO$4)+$AO26-1,COLUMN(Q$3)))=INDIRECT(ADDRESS(ROW(),COLUMN(Q$3))),"","NG")</f>
        <v>#VALUE!</v>
      </c>
      <c r="AS26" s="325" t="e" cm="1">
        <f t="array" aca="1" ref="AS26" ca="1">IF(INDIRECT(ADDRESS(ROW($AO$4)+$AO26-1,COLUMN(R$3)))=INDIRECT(ADDRESS(ROW(),COLUMN(R$3))),"","NG")</f>
        <v>#VALUE!</v>
      </c>
      <c r="AT26" s="325" t="e" cm="1">
        <f t="array" aca="1" ref="AT26" ca="1">IF(INDIRECT(ADDRESS(ROW($AO$4)+$AO26-1,COLUMN(S$3)))=INDIRECT(ADDRESS(ROW(),COLUMN(S$3))),"","NG")</f>
        <v>#VALUE!</v>
      </c>
      <c r="AU26" s="325" t="e" cm="1">
        <f t="array" aca="1" ref="AU26" ca="1">IF(INDIRECT(ADDRESS(ROW($AO$4)+$AO26-1,COLUMN(V$3)))=INDIRECT(ADDRESS(ROW(),COLUMN(V$3))),"","NG")</f>
        <v>#VALUE!</v>
      </c>
      <c r="AV26" s="325" t="e" cm="1">
        <f t="array" aca="1" ref="AV26" ca="1">IF(INDIRECT(ADDRESS(ROW($AO$4)+$AO26-1,COLUMN(W$3)))=INDIRECT(ADDRESS(ROW(),COLUMN(W$3))),"","NG")</f>
        <v>#VALUE!</v>
      </c>
      <c r="AW26" s="325" t="e" cm="1">
        <f t="array" aca="1" ref="AW26" ca="1">IF(INDIRECT(ADDRESS(ROW($AO$4)+$AO26-1,COLUMN(X$3)))=INDIRECT(ADDRESS(ROW(),COLUMN(X$3))),"","NG")</f>
        <v>#VALUE!</v>
      </c>
      <c r="AX26" s="325" t="e" cm="1">
        <f t="array" aca="1" ref="AX26" ca="1">IF(INDIRECT(ADDRESS(ROW($AO$4)+$AO26-1,COLUMN(Y$3)))=INDIRECT(ADDRESS(ROW(),COLUMN(Y$3))),"","NG")</f>
        <v>#VALUE!</v>
      </c>
      <c r="AY26" s="325" t="e" cm="1">
        <f t="array" aca="1" ref="AY26" ca="1">IF(INDIRECT(ADDRESS(ROW($AO$4)+$AO26-1,COLUMN(Z$3)))=INDIRECT(ADDRESS(ROW(),COLUMN(Z$3))),"","NG")</f>
        <v>#VALUE!</v>
      </c>
      <c r="AZ26" s="325" t="e" cm="1">
        <f t="array" aca="1" ref="AZ26" ca="1">IF(INDIRECT(ADDRESS(ROW($AO$4)+$AO26-1,COLUMN(AA$3)))=INDIRECT(ADDRESS(ROW(),COLUMN(AA$3))),"","NG")</f>
        <v>#VALUE!</v>
      </c>
      <c r="BA26" s="325" t="e" cm="1">
        <f t="array" aca="1" ref="BA26" ca="1">IF(INDIRECT(ADDRESS(ROW($AO$4)+$AO26-1,COLUMN(AB$3)))=INDIRECT(ADDRESS(ROW(),COLUMN(AB$3))),"","NG")</f>
        <v>#VALUE!</v>
      </c>
      <c r="BB26" s="325" t="e" cm="1">
        <f t="array" aca="1" ref="BB26" ca="1">IF(INDIRECT(ADDRESS(ROW($AO$4)+$AO26-1,COLUMN(AC$3)))=INDIRECT(ADDRESS(ROW(),COLUMN(AC$3))),"","NG")</f>
        <v>#VALUE!</v>
      </c>
      <c r="BC26" s="325" t="e" cm="1">
        <f t="array" aca="1" ref="BC26" ca="1">IF(INDIRECT(ADDRESS(ROW($AO$4)+$AO26-1,COLUMN(AD$3)))=INDIRECT(ADDRESS(ROW(),COLUMN(AD$3))),"","NG")</f>
        <v>#VALUE!</v>
      </c>
      <c r="BD26" s="325" t="e" cm="1">
        <f t="array" aca="1" ref="BD26" ca="1">IF(INDIRECT(ADDRESS(ROW($AO$4)+$AO26-1,COLUMN(AF$3)))=INDIRECT(ADDRESS(ROW(),COLUMN(AF$3))),"","NG")</f>
        <v>#VALUE!</v>
      </c>
      <c r="BE26" s="325" t="e" cm="1">
        <f t="array" aca="1" ref="BE26" ca="1">IF(INDIRECT(ADDRESS(ROW($AO$4)+$AO26-1,COLUMN(AG$3)))=INDIRECT(ADDRESS(ROW(),COLUMN(AG$3))),"","NG")</f>
        <v>#VALUE!</v>
      </c>
      <c r="BF26" s="325" t="e" cm="1">
        <f t="array" aca="1" ref="BF26" ca="1">IF(INDIRECT(ADDRESS(ROW($AO$4)+$AO26-1,COLUMN(AH$3)))=INDIRECT(ADDRESS(ROW(),COLUMN(AH$3))),"","NG")</f>
        <v>#VALUE!</v>
      </c>
      <c r="BG26" s="325" t="e" cm="1">
        <f t="array" aca="1" ref="BG26" ca="1">IF(INDIRECT(ADDRESS(ROW($AO$4)+$AO26-1,COLUMN(AI$3)))=INDIRECT(ADDRESS(ROW(),COLUMN(AI$3))),"","NG")</f>
        <v>#VALUE!</v>
      </c>
      <c r="BH26" s="325" t="e" cm="1">
        <f t="array" aca="1" ref="BH26" ca="1">IF(INDIRECT(ADDRESS(ROW($AO$4)+$AO26-1,COLUMN(AJ$3)))=INDIRECT(ADDRESS(ROW(),COLUMN(AJ$3))),"","NG")</f>
        <v>#VALUE!</v>
      </c>
    </row>
    <row r="27" spans="1:60" x14ac:dyDescent="0.4">
      <c r="H27" s="305">
        <f t="shared" si="7"/>
        <v>24</v>
      </c>
      <c r="I27" s="80">
        <v>19</v>
      </c>
      <c r="J27" s="80">
        <v>3</v>
      </c>
      <c r="K27" s="277" t="str">
        <f t="shared" si="3"/>
        <v>10月1日(日)</v>
      </c>
      <c r="L27" s="312" t="str">
        <f t="shared" si="8"/>
        <v>(19) ビギナーズジャンプ</v>
      </c>
      <c r="M27" s="81" t="s">
        <v>1772</v>
      </c>
      <c r="N27" s="280" t="s">
        <v>162</v>
      </c>
      <c r="O27" s="283">
        <v>7000</v>
      </c>
      <c r="P27" s="283">
        <v>6000</v>
      </c>
      <c r="Q27" s="283">
        <v>6000</v>
      </c>
      <c r="R27" s="283">
        <v>6000</v>
      </c>
      <c r="S27" s="271"/>
      <c r="T27" s="80">
        <f t="shared" si="4"/>
        <v>24</v>
      </c>
      <c r="U27" s="80">
        <f t="shared" si="5"/>
        <v>19</v>
      </c>
      <c r="V27" s="80" t="s">
        <v>12</v>
      </c>
      <c r="W27" s="80" t="s">
        <v>1755</v>
      </c>
      <c r="X27" s="80">
        <v>1</v>
      </c>
      <c r="Y27" s="80">
        <v>1</v>
      </c>
      <c r="Z27" s="80">
        <v>1</v>
      </c>
      <c r="AA27" s="80">
        <v>1</v>
      </c>
      <c r="AB27" s="80">
        <v>1</v>
      </c>
      <c r="AC27" s="80">
        <v>1</v>
      </c>
      <c r="AD27" s="271" t="s">
        <v>251</v>
      </c>
      <c r="AE27" s="271" t="str">
        <f>IF(AD27&lt;&gt;"",VLOOKUP(AD27,リスト!$R$12:$S$18,2,FALSE),"")</f>
        <v>リスト!$J$2:$J$5</v>
      </c>
      <c r="AF27" s="271" t="s">
        <v>409</v>
      </c>
      <c r="AG27" s="308">
        <v>2</v>
      </c>
      <c r="AH27" s="308">
        <v>90</v>
      </c>
      <c r="AI27" s="308">
        <v>30</v>
      </c>
      <c r="AJ27" s="308">
        <v>0</v>
      </c>
      <c r="AK27" s="126"/>
      <c r="AM27" s="327" t="str">
        <f t="shared" si="9"/>
        <v>ビギナーズジャンプ-</v>
      </c>
      <c r="AN27" s="44">
        <f t="shared" si="6"/>
        <v>12</v>
      </c>
      <c r="AO27" s="44">
        <f t="shared" si="10"/>
        <v>9</v>
      </c>
      <c r="AP27" s="325" t="e" cm="1">
        <f t="array" aca="1" ref="AP27" ca="1">IF(INDIRECT(ADDRESS(ROW($AO$4)+$AO27-1,COLUMN(O$3)))=INDIRECT(ADDRESS(ROW(),COLUMN(O$3))),"","NG")</f>
        <v>#VALUE!</v>
      </c>
      <c r="AQ27" s="325" t="e" cm="1">
        <f t="array" aca="1" ref="AQ27" ca="1">IF(INDIRECT(ADDRESS(ROW($AO$4)+$AO27-1,COLUMN(P$3)))=INDIRECT(ADDRESS(ROW(),COLUMN(P$3))),"","NG")</f>
        <v>#VALUE!</v>
      </c>
      <c r="AR27" s="325" t="e" cm="1">
        <f t="array" aca="1" ref="AR27" ca="1">IF(INDIRECT(ADDRESS(ROW($AO$4)+$AO27-1,COLUMN(Q$3)))=INDIRECT(ADDRESS(ROW(),COLUMN(Q$3))),"","NG")</f>
        <v>#VALUE!</v>
      </c>
      <c r="AS27" s="325" t="e" cm="1">
        <f t="array" aca="1" ref="AS27" ca="1">IF(INDIRECT(ADDRESS(ROW($AO$4)+$AO27-1,COLUMN(R$3)))=INDIRECT(ADDRESS(ROW(),COLUMN(R$3))),"","NG")</f>
        <v>#VALUE!</v>
      </c>
      <c r="AT27" s="325" t="e" cm="1">
        <f t="array" aca="1" ref="AT27" ca="1">IF(INDIRECT(ADDRESS(ROW($AO$4)+$AO27-1,COLUMN(S$3)))=INDIRECT(ADDRESS(ROW(),COLUMN(S$3))),"","NG")</f>
        <v>#VALUE!</v>
      </c>
      <c r="AU27" s="325" t="e" cm="1">
        <f t="array" aca="1" ref="AU27" ca="1">IF(INDIRECT(ADDRESS(ROW($AO$4)+$AO27-1,COLUMN(V$3)))=INDIRECT(ADDRESS(ROW(),COLUMN(V$3))),"","NG")</f>
        <v>#VALUE!</v>
      </c>
      <c r="AV27" s="325" t="e" cm="1">
        <f t="array" aca="1" ref="AV27" ca="1">IF(INDIRECT(ADDRESS(ROW($AO$4)+$AO27-1,COLUMN(W$3)))=INDIRECT(ADDRESS(ROW(),COLUMN(W$3))),"","NG")</f>
        <v>#VALUE!</v>
      </c>
      <c r="AW27" s="325" t="e" cm="1">
        <f t="array" aca="1" ref="AW27" ca="1">IF(INDIRECT(ADDRESS(ROW($AO$4)+$AO27-1,COLUMN(X$3)))=INDIRECT(ADDRESS(ROW(),COLUMN(X$3))),"","NG")</f>
        <v>#VALUE!</v>
      </c>
      <c r="AX27" s="325" t="e" cm="1">
        <f t="array" aca="1" ref="AX27" ca="1">IF(INDIRECT(ADDRESS(ROW($AO$4)+$AO27-1,COLUMN(Y$3)))=INDIRECT(ADDRESS(ROW(),COLUMN(Y$3))),"","NG")</f>
        <v>#VALUE!</v>
      </c>
      <c r="AY27" s="325" t="e" cm="1">
        <f t="array" aca="1" ref="AY27" ca="1">IF(INDIRECT(ADDRESS(ROW($AO$4)+$AO27-1,COLUMN(Z$3)))=INDIRECT(ADDRESS(ROW(),COLUMN(Z$3))),"","NG")</f>
        <v>#VALUE!</v>
      </c>
      <c r="AZ27" s="325" t="e" cm="1">
        <f t="array" aca="1" ref="AZ27" ca="1">IF(INDIRECT(ADDRESS(ROW($AO$4)+$AO27-1,COLUMN(AA$3)))=INDIRECT(ADDRESS(ROW(),COLUMN(AA$3))),"","NG")</f>
        <v>#VALUE!</v>
      </c>
      <c r="BA27" s="325" t="e" cm="1">
        <f t="array" aca="1" ref="BA27" ca="1">IF(INDIRECT(ADDRESS(ROW($AO$4)+$AO27-1,COLUMN(AB$3)))=INDIRECT(ADDRESS(ROW(),COLUMN(AB$3))),"","NG")</f>
        <v>#VALUE!</v>
      </c>
      <c r="BB27" s="325" t="e" cm="1">
        <f t="array" aca="1" ref="BB27" ca="1">IF(INDIRECT(ADDRESS(ROW($AO$4)+$AO27-1,COLUMN(AC$3)))=INDIRECT(ADDRESS(ROW(),COLUMN(AC$3))),"","NG")</f>
        <v>#VALUE!</v>
      </c>
      <c r="BC27" s="325" t="e" cm="1">
        <f t="array" aca="1" ref="BC27" ca="1">IF(INDIRECT(ADDRESS(ROW($AO$4)+$AO27-1,COLUMN(AD$3)))=INDIRECT(ADDRESS(ROW(),COLUMN(AD$3))),"","NG")</f>
        <v>#VALUE!</v>
      </c>
      <c r="BD27" s="325" t="e" cm="1">
        <f t="array" aca="1" ref="BD27" ca="1">IF(INDIRECT(ADDRESS(ROW($AO$4)+$AO27-1,COLUMN(AF$3)))=INDIRECT(ADDRESS(ROW(),COLUMN(AF$3))),"","NG")</f>
        <v>#VALUE!</v>
      </c>
      <c r="BE27" s="325" t="e" cm="1">
        <f t="array" aca="1" ref="BE27" ca="1">IF(INDIRECT(ADDRESS(ROW($AO$4)+$AO27-1,COLUMN(AG$3)))=INDIRECT(ADDRESS(ROW(),COLUMN(AG$3))),"","NG")</f>
        <v>#VALUE!</v>
      </c>
      <c r="BF27" s="325" t="e" cm="1">
        <f t="array" aca="1" ref="BF27" ca="1">IF(INDIRECT(ADDRESS(ROW($AO$4)+$AO27-1,COLUMN(AH$3)))=INDIRECT(ADDRESS(ROW(),COLUMN(AH$3))),"","NG")</f>
        <v>#VALUE!</v>
      </c>
      <c r="BG27" s="325" t="e" cm="1">
        <f t="array" aca="1" ref="BG27" ca="1">IF(INDIRECT(ADDRESS(ROW($AO$4)+$AO27-1,COLUMN(AI$3)))=INDIRECT(ADDRESS(ROW(),COLUMN(AI$3))),"","NG")</f>
        <v>#VALUE!</v>
      </c>
      <c r="BH27" s="325" t="e" cm="1">
        <f t="array" aca="1" ref="BH27" ca="1">IF(INDIRECT(ADDRESS(ROW($AO$4)+$AO27-1,COLUMN(AJ$3)))=INDIRECT(ADDRESS(ROW(),COLUMN(AJ$3))),"","NG")</f>
        <v>#VALUE!</v>
      </c>
    </row>
    <row r="28" spans="1:60" x14ac:dyDescent="0.4">
      <c r="H28" s="305">
        <f t="shared" si="7"/>
        <v>25</v>
      </c>
      <c r="I28" s="80">
        <v>20</v>
      </c>
      <c r="J28" s="80">
        <v>3</v>
      </c>
      <c r="K28" s="277" t="str">
        <f t="shared" si="3"/>
        <v>10月1日(日)</v>
      </c>
      <c r="L28" s="312" t="str">
        <f t="shared" si="8"/>
        <v>(20) 小障害 60cmクラス</v>
      </c>
      <c r="M28" s="81" t="s">
        <v>1773</v>
      </c>
      <c r="N28" s="280" t="s">
        <v>162</v>
      </c>
      <c r="O28" s="283">
        <v>7000</v>
      </c>
      <c r="P28" s="283">
        <v>6000</v>
      </c>
      <c r="Q28" s="283">
        <v>6000</v>
      </c>
      <c r="R28" s="283">
        <v>6000</v>
      </c>
      <c r="S28" s="271"/>
      <c r="T28" s="80">
        <f t="shared" si="4"/>
        <v>25</v>
      </c>
      <c r="U28" s="80">
        <f t="shared" si="5"/>
        <v>20</v>
      </c>
      <c r="V28" s="80" t="s">
        <v>12</v>
      </c>
      <c r="W28" s="80" t="s">
        <v>11</v>
      </c>
      <c r="X28" s="80">
        <v>1</v>
      </c>
      <c r="Y28" s="80">
        <v>1</v>
      </c>
      <c r="Z28" s="80">
        <v>1</v>
      </c>
      <c r="AA28" s="80">
        <v>1</v>
      </c>
      <c r="AB28" s="80">
        <v>1</v>
      </c>
      <c r="AC28" s="80">
        <v>1</v>
      </c>
      <c r="AD28" s="271" t="s">
        <v>251</v>
      </c>
      <c r="AE28" s="271" t="str">
        <f>IF(AD28&lt;&gt;"",VLOOKUP(AD28,リスト!$R$12:$S$18,2,FALSE),"")</f>
        <v>リスト!$J$2:$J$5</v>
      </c>
      <c r="AF28" s="271" t="s">
        <v>409</v>
      </c>
      <c r="AG28" s="308">
        <v>2</v>
      </c>
      <c r="AH28" s="308">
        <v>90</v>
      </c>
      <c r="AI28" s="308">
        <v>30</v>
      </c>
      <c r="AJ28" s="308">
        <v>0</v>
      </c>
      <c r="AK28" s="126"/>
      <c r="AM28" s="327" t="str">
        <f t="shared" si="9"/>
        <v>小障害 60cmクラス-</v>
      </c>
      <c r="AN28" s="44">
        <f t="shared" si="6"/>
        <v>13</v>
      </c>
      <c r="AO28" s="44">
        <f t="shared" si="10"/>
        <v>10</v>
      </c>
      <c r="AP28" s="325" t="e" cm="1">
        <f t="array" aca="1" ref="AP28" ca="1">IF(INDIRECT(ADDRESS(ROW($AO$4)+$AO28-1,COLUMN(O$3)))=INDIRECT(ADDRESS(ROW(),COLUMN(O$3))),"","NG")</f>
        <v>#VALUE!</v>
      </c>
      <c r="AQ28" s="325" t="e" cm="1">
        <f t="array" aca="1" ref="AQ28" ca="1">IF(INDIRECT(ADDRESS(ROW($AO$4)+$AO28-1,COLUMN(P$3)))=INDIRECT(ADDRESS(ROW(),COLUMN(P$3))),"","NG")</f>
        <v>#VALUE!</v>
      </c>
      <c r="AR28" s="325" t="e" cm="1">
        <f t="array" aca="1" ref="AR28" ca="1">IF(INDIRECT(ADDRESS(ROW($AO$4)+$AO28-1,COLUMN(Q$3)))=INDIRECT(ADDRESS(ROW(),COLUMN(Q$3))),"","NG")</f>
        <v>#VALUE!</v>
      </c>
      <c r="AS28" s="325" t="e" cm="1">
        <f t="array" aca="1" ref="AS28" ca="1">IF(INDIRECT(ADDRESS(ROW($AO$4)+$AO28-1,COLUMN(R$3)))=INDIRECT(ADDRESS(ROW(),COLUMN(R$3))),"","NG")</f>
        <v>#VALUE!</v>
      </c>
      <c r="AT28" s="325" t="e" cm="1">
        <f t="array" aca="1" ref="AT28" ca="1">IF(INDIRECT(ADDRESS(ROW($AO$4)+$AO28-1,COLUMN(S$3)))=INDIRECT(ADDRESS(ROW(),COLUMN(S$3))),"","NG")</f>
        <v>#VALUE!</v>
      </c>
      <c r="AU28" s="325" t="e" cm="1">
        <f t="array" aca="1" ref="AU28" ca="1">IF(INDIRECT(ADDRESS(ROW($AO$4)+$AO28-1,COLUMN(V$3)))=INDIRECT(ADDRESS(ROW(),COLUMN(V$3))),"","NG")</f>
        <v>#VALUE!</v>
      </c>
      <c r="AV28" s="325" t="e" cm="1">
        <f t="array" aca="1" ref="AV28" ca="1">IF(INDIRECT(ADDRESS(ROW($AO$4)+$AO28-1,COLUMN(W$3)))=INDIRECT(ADDRESS(ROW(),COLUMN(W$3))),"","NG")</f>
        <v>#VALUE!</v>
      </c>
      <c r="AW28" s="325" t="e" cm="1">
        <f t="array" aca="1" ref="AW28" ca="1">IF(INDIRECT(ADDRESS(ROW($AO$4)+$AO28-1,COLUMN(X$3)))=INDIRECT(ADDRESS(ROW(),COLUMN(X$3))),"","NG")</f>
        <v>#VALUE!</v>
      </c>
      <c r="AX28" s="325" t="e" cm="1">
        <f t="array" aca="1" ref="AX28" ca="1">IF(INDIRECT(ADDRESS(ROW($AO$4)+$AO28-1,COLUMN(Y$3)))=INDIRECT(ADDRESS(ROW(),COLUMN(Y$3))),"","NG")</f>
        <v>#VALUE!</v>
      </c>
      <c r="AY28" s="325" t="e" cm="1">
        <f t="array" aca="1" ref="AY28" ca="1">IF(INDIRECT(ADDRESS(ROW($AO$4)+$AO28-1,COLUMN(Z$3)))=INDIRECT(ADDRESS(ROW(),COLUMN(Z$3))),"","NG")</f>
        <v>#VALUE!</v>
      </c>
      <c r="AZ28" s="325" t="e" cm="1">
        <f t="array" aca="1" ref="AZ28" ca="1">IF(INDIRECT(ADDRESS(ROW($AO$4)+$AO28-1,COLUMN(AA$3)))=INDIRECT(ADDRESS(ROW(),COLUMN(AA$3))),"","NG")</f>
        <v>#VALUE!</v>
      </c>
      <c r="BA28" s="325" t="e" cm="1">
        <f t="array" aca="1" ref="BA28" ca="1">IF(INDIRECT(ADDRESS(ROW($AO$4)+$AO28-1,COLUMN(AB$3)))=INDIRECT(ADDRESS(ROW(),COLUMN(AB$3))),"","NG")</f>
        <v>#VALUE!</v>
      </c>
      <c r="BB28" s="325" t="e" cm="1">
        <f t="array" aca="1" ref="BB28" ca="1">IF(INDIRECT(ADDRESS(ROW($AO$4)+$AO28-1,COLUMN(AC$3)))=INDIRECT(ADDRESS(ROW(),COLUMN(AC$3))),"","NG")</f>
        <v>#VALUE!</v>
      </c>
      <c r="BC28" s="325" t="e" cm="1">
        <f t="array" aca="1" ref="BC28" ca="1">IF(INDIRECT(ADDRESS(ROW($AO$4)+$AO28-1,COLUMN(AD$3)))=INDIRECT(ADDRESS(ROW(),COLUMN(AD$3))),"","NG")</f>
        <v>#VALUE!</v>
      </c>
      <c r="BD28" s="325" t="e" cm="1">
        <f t="array" aca="1" ref="BD28" ca="1">IF(INDIRECT(ADDRESS(ROW($AO$4)+$AO28-1,COLUMN(AF$3)))=INDIRECT(ADDRESS(ROW(),COLUMN(AF$3))),"","NG")</f>
        <v>#VALUE!</v>
      </c>
      <c r="BE28" s="325" t="e" cm="1">
        <f t="array" aca="1" ref="BE28" ca="1">IF(INDIRECT(ADDRESS(ROW($AO$4)+$AO28-1,COLUMN(AG$3)))=INDIRECT(ADDRESS(ROW(),COLUMN(AG$3))),"","NG")</f>
        <v>#VALUE!</v>
      </c>
      <c r="BF28" s="325" t="e" cm="1">
        <f t="array" aca="1" ref="BF28" ca="1">IF(INDIRECT(ADDRESS(ROW($AO$4)+$AO28-1,COLUMN(AH$3)))=INDIRECT(ADDRESS(ROW(),COLUMN(AH$3))),"","NG")</f>
        <v>#VALUE!</v>
      </c>
      <c r="BG28" s="325" t="e" cm="1">
        <f t="array" aca="1" ref="BG28" ca="1">IF(INDIRECT(ADDRESS(ROW($AO$4)+$AO28-1,COLUMN(AI$3)))=INDIRECT(ADDRESS(ROW(),COLUMN(AI$3))),"","NG")</f>
        <v>#VALUE!</v>
      </c>
      <c r="BH28" s="325" t="e" cm="1">
        <f t="array" aca="1" ref="BH28" ca="1">IF(INDIRECT(ADDRESS(ROW($AO$4)+$AO28-1,COLUMN(AJ$3)))=INDIRECT(ADDRESS(ROW(),COLUMN(AJ$3))),"","NG")</f>
        <v>#VALUE!</v>
      </c>
    </row>
    <row r="29" spans="1:60" x14ac:dyDescent="0.4">
      <c r="H29" s="305">
        <f t="shared" si="7"/>
        <v>26</v>
      </c>
      <c r="I29" s="80">
        <v>21</v>
      </c>
      <c r="J29" s="80">
        <v>3</v>
      </c>
      <c r="K29" s="277" t="str">
        <f t="shared" si="3"/>
        <v>10月1日(日)</v>
      </c>
      <c r="L29" s="312" t="str">
        <f t="shared" si="8"/>
        <v>(21) 小障害 70cmクラス</v>
      </c>
      <c r="M29" s="81" t="s">
        <v>1769</v>
      </c>
      <c r="N29" s="280" t="s">
        <v>162</v>
      </c>
      <c r="O29" s="283">
        <v>9000</v>
      </c>
      <c r="P29" s="283">
        <v>7000</v>
      </c>
      <c r="Q29" s="283">
        <v>7000</v>
      </c>
      <c r="R29" s="283">
        <v>7000</v>
      </c>
      <c r="S29" s="271"/>
      <c r="T29" s="80">
        <f t="shared" si="4"/>
        <v>26</v>
      </c>
      <c r="U29" s="80">
        <f t="shared" si="5"/>
        <v>21</v>
      </c>
      <c r="V29" s="80" t="s">
        <v>12</v>
      </c>
      <c r="W29" s="80" t="s">
        <v>11</v>
      </c>
      <c r="X29" s="80">
        <v>1</v>
      </c>
      <c r="Y29" s="80">
        <v>1</v>
      </c>
      <c r="Z29" s="80">
        <v>1</v>
      </c>
      <c r="AA29" s="80">
        <v>1</v>
      </c>
      <c r="AB29" s="80">
        <v>1</v>
      </c>
      <c r="AC29" s="80">
        <v>1</v>
      </c>
      <c r="AD29" s="271" t="s">
        <v>251</v>
      </c>
      <c r="AE29" s="271" t="str">
        <f>IF(AD29&lt;&gt;"",VLOOKUP(AD29,リスト!$R$12:$S$18,2,FALSE),"")</f>
        <v>リスト!$J$2:$J$5</v>
      </c>
      <c r="AF29" s="271" t="s">
        <v>409</v>
      </c>
      <c r="AG29" s="308">
        <v>2</v>
      </c>
      <c r="AH29" s="308">
        <v>90</v>
      </c>
      <c r="AI29" s="308">
        <v>30</v>
      </c>
      <c r="AJ29" s="308">
        <v>0</v>
      </c>
      <c r="AK29" s="126"/>
      <c r="AM29" s="327" t="str">
        <f t="shared" si="9"/>
        <v>小障害 70cmクラス-</v>
      </c>
      <c r="AN29" s="44">
        <f t="shared" si="6"/>
        <v>7</v>
      </c>
      <c r="AO29" s="44">
        <f t="shared" si="10"/>
        <v>4</v>
      </c>
      <c r="AP29" s="325" t="e" cm="1">
        <f t="array" aca="1" ref="AP29" ca="1">IF(INDIRECT(ADDRESS(ROW($AO$4)+$AO29-1,COLUMN(O$3)))=INDIRECT(ADDRESS(ROW(),COLUMN(O$3))),"","NG")</f>
        <v>#VALUE!</v>
      </c>
      <c r="AQ29" s="325" t="e" cm="1">
        <f t="array" aca="1" ref="AQ29" ca="1">IF(INDIRECT(ADDRESS(ROW($AO$4)+$AO29-1,COLUMN(P$3)))=INDIRECT(ADDRESS(ROW(),COLUMN(P$3))),"","NG")</f>
        <v>#VALUE!</v>
      </c>
      <c r="AR29" s="325" t="e" cm="1">
        <f t="array" aca="1" ref="AR29" ca="1">IF(INDIRECT(ADDRESS(ROW($AO$4)+$AO29-1,COLUMN(Q$3)))=INDIRECT(ADDRESS(ROW(),COLUMN(Q$3))),"","NG")</f>
        <v>#VALUE!</v>
      </c>
      <c r="AS29" s="325" t="e" cm="1">
        <f t="array" aca="1" ref="AS29" ca="1">IF(INDIRECT(ADDRESS(ROW($AO$4)+$AO29-1,COLUMN(R$3)))=INDIRECT(ADDRESS(ROW(),COLUMN(R$3))),"","NG")</f>
        <v>#VALUE!</v>
      </c>
      <c r="AT29" s="325" t="e" cm="1">
        <f t="array" aca="1" ref="AT29" ca="1">IF(INDIRECT(ADDRESS(ROW($AO$4)+$AO29-1,COLUMN(S$3)))=INDIRECT(ADDRESS(ROW(),COLUMN(S$3))),"","NG")</f>
        <v>#VALUE!</v>
      </c>
      <c r="AU29" s="325" t="e" cm="1">
        <f t="array" aca="1" ref="AU29" ca="1">IF(INDIRECT(ADDRESS(ROW($AO$4)+$AO29-1,COLUMN(V$3)))=INDIRECT(ADDRESS(ROW(),COLUMN(V$3))),"","NG")</f>
        <v>#VALUE!</v>
      </c>
      <c r="AV29" s="325" t="e" cm="1">
        <f t="array" aca="1" ref="AV29" ca="1">IF(INDIRECT(ADDRESS(ROW($AO$4)+$AO29-1,COLUMN(W$3)))=INDIRECT(ADDRESS(ROW(),COLUMN(W$3))),"","NG")</f>
        <v>#VALUE!</v>
      </c>
      <c r="AW29" s="325" t="e" cm="1">
        <f t="array" aca="1" ref="AW29" ca="1">IF(INDIRECT(ADDRESS(ROW($AO$4)+$AO29-1,COLUMN(X$3)))=INDIRECT(ADDRESS(ROW(),COLUMN(X$3))),"","NG")</f>
        <v>#VALUE!</v>
      </c>
      <c r="AX29" s="325" t="e" cm="1">
        <f t="array" aca="1" ref="AX29" ca="1">IF(INDIRECT(ADDRESS(ROW($AO$4)+$AO29-1,COLUMN(Y$3)))=INDIRECT(ADDRESS(ROW(),COLUMN(Y$3))),"","NG")</f>
        <v>#VALUE!</v>
      </c>
      <c r="AY29" s="325" t="e" cm="1">
        <f t="array" aca="1" ref="AY29" ca="1">IF(INDIRECT(ADDRESS(ROW($AO$4)+$AO29-1,COLUMN(Z$3)))=INDIRECT(ADDRESS(ROW(),COLUMN(Z$3))),"","NG")</f>
        <v>#VALUE!</v>
      </c>
      <c r="AZ29" s="325" t="e" cm="1">
        <f t="array" aca="1" ref="AZ29" ca="1">IF(INDIRECT(ADDRESS(ROW($AO$4)+$AO29-1,COLUMN(AA$3)))=INDIRECT(ADDRESS(ROW(),COLUMN(AA$3))),"","NG")</f>
        <v>#VALUE!</v>
      </c>
      <c r="BA29" s="325" t="e" cm="1">
        <f t="array" aca="1" ref="BA29" ca="1">IF(INDIRECT(ADDRESS(ROW($AO$4)+$AO29-1,COLUMN(AB$3)))=INDIRECT(ADDRESS(ROW(),COLUMN(AB$3))),"","NG")</f>
        <v>#VALUE!</v>
      </c>
      <c r="BB29" s="325" t="e" cm="1">
        <f t="array" aca="1" ref="BB29" ca="1">IF(INDIRECT(ADDRESS(ROW($AO$4)+$AO29-1,COLUMN(AC$3)))=INDIRECT(ADDRESS(ROW(),COLUMN(AC$3))),"","NG")</f>
        <v>#VALUE!</v>
      </c>
      <c r="BC29" s="325" t="e" cm="1">
        <f t="array" aca="1" ref="BC29" ca="1">IF(INDIRECT(ADDRESS(ROW($AO$4)+$AO29-1,COLUMN(AD$3)))=INDIRECT(ADDRESS(ROW(),COLUMN(AD$3))),"","NG")</f>
        <v>#VALUE!</v>
      </c>
      <c r="BD29" s="325" t="e" cm="1">
        <f t="array" aca="1" ref="BD29" ca="1">IF(INDIRECT(ADDRESS(ROW($AO$4)+$AO29-1,COLUMN(AF$3)))=INDIRECT(ADDRESS(ROW(),COLUMN(AF$3))),"","NG")</f>
        <v>#VALUE!</v>
      </c>
      <c r="BE29" s="325" t="e" cm="1">
        <f t="array" aca="1" ref="BE29" ca="1">IF(INDIRECT(ADDRESS(ROW($AO$4)+$AO29-1,COLUMN(AG$3)))=INDIRECT(ADDRESS(ROW(),COLUMN(AG$3))),"","NG")</f>
        <v>#VALUE!</v>
      </c>
      <c r="BF29" s="325" t="e" cm="1">
        <f t="array" aca="1" ref="BF29" ca="1">IF(INDIRECT(ADDRESS(ROW($AO$4)+$AO29-1,COLUMN(AH$3)))=INDIRECT(ADDRESS(ROW(),COLUMN(AH$3))),"","NG")</f>
        <v>#VALUE!</v>
      </c>
      <c r="BG29" s="325" t="e" cm="1">
        <f t="array" aca="1" ref="BG29" ca="1">IF(INDIRECT(ADDRESS(ROW($AO$4)+$AO29-1,COLUMN(AI$3)))=INDIRECT(ADDRESS(ROW(),COLUMN(AI$3))),"","NG")</f>
        <v>#VALUE!</v>
      </c>
      <c r="BH29" s="325" t="e" cm="1">
        <f t="array" aca="1" ref="BH29" ca="1">IF(INDIRECT(ADDRESS(ROW($AO$4)+$AO29-1,COLUMN(AJ$3)))=INDIRECT(ADDRESS(ROW(),COLUMN(AJ$3))),"","NG")</f>
        <v>#VALUE!</v>
      </c>
    </row>
    <row r="30" spans="1:60" x14ac:dyDescent="0.4">
      <c r="H30" s="305">
        <f t="shared" si="7"/>
        <v>27</v>
      </c>
      <c r="I30" s="80">
        <v>22</v>
      </c>
      <c r="J30" s="80">
        <v>3</v>
      </c>
      <c r="K30" s="277" t="str">
        <f t="shared" si="3"/>
        <v>10月1日(日)</v>
      </c>
      <c r="L30" s="312" t="str">
        <f t="shared" si="8"/>
        <v>(22) 小障害 80cmクラス</v>
      </c>
      <c r="M30" s="81" t="s">
        <v>1770</v>
      </c>
      <c r="N30" s="280" t="s">
        <v>162</v>
      </c>
      <c r="O30" s="283">
        <v>9000</v>
      </c>
      <c r="P30" s="283">
        <v>7000</v>
      </c>
      <c r="Q30" s="283">
        <v>7000</v>
      </c>
      <c r="R30" s="283">
        <v>7000</v>
      </c>
      <c r="S30" s="271"/>
      <c r="T30" s="80">
        <f t="shared" si="4"/>
        <v>27</v>
      </c>
      <c r="U30" s="80">
        <f t="shared" si="5"/>
        <v>22</v>
      </c>
      <c r="V30" s="80" t="s">
        <v>12</v>
      </c>
      <c r="W30" s="80" t="s">
        <v>11</v>
      </c>
      <c r="X30" s="80">
        <v>1</v>
      </c>
      <c r="Y30" s="80">
        <v>1</v>
      </c>
      <c r="Z30" s="80">
        <v>1</v>
      </c>
      <c r="AA30" s="80">
        <v>1</v>
      </c>
      <c r="AB30" s="80">
        <v>1</v>
      </c>
      <c r="AC30" s="80">
        <v>1</v>
      </c>
      <c r="AD30" s="271" t="s">
        <v>251</v>
      </c>
      <c r="AE30" s="271" t="str">
        <f>IF(AD30&lt;&gt;"",VLOOKUP(AD30,リスト!$R$12:$S$18,2,FALSE),"")</f>
        <v>リスト!$J$2:$J$5</v>
      </c>
      <c r="AF30" s="271" t="s">
        <v>409</v>
      </c>
      <c r="AG30" s="308">
        <v>2</v>
      </c>
      <c r="AH30" s="308">
        <v>90</v>
      </c>
      <c r="AI30" s="308">
        <v>30</v>
      </c>
      <c r="AJ30" s="308">
        <v>0</v>
      </c>
      <c r="AK30" s="126"/>
      <c r="AM30" s="327" t="str">
        <f t="shared" si="9"/>
        <v>小障害 80cmクラス-</v>
      </c>
      <c r="AN30" s="44">
        <f t="shared" si="6"/>
        <v>8</v>
      </c>
      <c r="AO30" s="44">
        <f t="shared" si="10"/>
        <v>5</v>
      </c>
      <c r="AP30" s="325" t="e" cm="1">
        <f t="array" aca="1" ref="AP30" ca="1">IF(INDIRECT(ADDRESS(ROW($AO$4)+$AO30-1,COLUMN(O$3)))=INDIRECT(ADDRESS(ROW(),COLUMN(O$3))),"","NG")</f>
        <v>#VALUE!</v>
      </c>
      <c r="AQ30" s="325" t="e" cm="1">
        <f t="array" aca="1" ref="AQ30" ca="1">IF(INDIRECT(ADDRESS(ROW($AO$4)+$AO30-1,COLUMN(P$3)))=INDIRECT(ADDRESS(ROW(),COLUMN(P$3))),"","NG")</f>
        <v>#VALUE!</v>
      </c>
      <c r="AR30" s="325" t="e" cm="1">
        <f t="array" aca="1" ref="AR30" ca="1">IF(INDIRECT(ADDRESS(ROW($AO$4)+$AO30-1,COLUMN(Q$3)))=INDIRECT(ADDRESS(ROW(),COLUMN(Q$3))),"","NG")</f>
        <v>#VALUE!</v>
      </c>
      <c r="AS30" s="325" t="e" cm="1">
        <f t="array" aca="1" ref="AS30" ca="1">IF(INDIRECT(ADDRESS(ROW($AO$4)+$AO30-1,COLUMN(R$3)))=INDIRECT(ADDRESS(ROW(),COLUMN(R$3))),"","NG")</f>
        <v>#VALUE!</v>
      </c>
      <c r="AT30" s="325" t="e" cm="1">
        <f t="array" aca="1" ref="AT30" ca="1">IF(INDIRECT(ADDRESS(ROW($AO$4)+$AO30-1,COLUMN(S$3)))=INDIRECT(ADDRESS(ROW(),COLUMN(S$3))),"","NG")</f>
        <v>#VALUE!</v>
      </c>
      <c r="AU30" s="325" t="e" cm="1">
        <f t="array" aca="1" ref="AU30" ca="1">IF(INDIRECT(ADDRESS(ROW($AO$4)+$AO30-1,COLUMN(V$3)))=INDIRECT(ADDRESS(ROW(),COLUMN(V$3))),"","NG")</f>
        <v>#VALUE!</v>
      </c>
      <c r="AV30" s="325" t="e" cm="1">
        <f t="array" aca="1" ref="AV30" ca="1">IF(INDIRECT(ADDRESS(ROW($AO$4)+$AO30-1,COLUMN(W$3)))=INDIRECT(ADDRESS(ROW(),COLUMN(W$3))),"","NG")</f>
        <v>#VALUE!</v>
      </c>
      <c r="AW30" s="325" t="e" cm="1">
        <f t="array" aca="1" ref="AW30" ca="1">IF(INDIRECT(ADDRESS(ROW($AO$4)+$AO30-1,COLUMN(X$3)))=INDIRECT(ADDRESS(ROW(),COLUMN(X$3))),"","NG")</f>
        <v>#VALUE!</v>
      </c>
      <c r="AX30" s="325" t="e" cm="1">
        <f t="array" aca="1" ref="AX30" ca="1">IF(INDIRECT(ADDRESS(ROW($AO$4)+$AO30-1,COLUMN(Y$3)))=INDIRECT(ADDRESS(ROW(),COLUMN(Y$3))),"","NG")</f>
        <v>#VALUE!</v>
      </c>
      <c r="AY30" s="325" t="e" cm="1">
        <f t="array" aca="1" ref="AY30" ca="1">IF(INDIRECT(ADDRESS(ROW($AO$4)+$AO30-1,COLUMN(Z$3)))=INDIRECT(ADDRESS(ROW(),COLUMN(Z$3))),"","NG")</f>
        <v>#VALUE!</v>
      </c>
      <c r="AZ30" s="325" t="e" cm="1">
        <f t="array" aca="1" ref="AZ30" ca="1">IF(INDIRECT(ADDRESS(ROW($AO$4)+$AO30-1,COLUMN(AA$3)))=INDIRECT(ADDRESS(ROW(),COLUMN(AA$3))),"","NG")</f>
        <v>#VALUE!</v>
      </c>
      <c r="BA30" s="325" t="e" cm="1">
        <f t="array" aca="1" ref="BA30" ca="1">IF(INDIRECT(ADDRESS(ROW($AO$4)+$AO30-1,COLUMN(AB$3)))=INDIRECT(ADDRESS(ROW(),COLUMN(AB$3))),"","NG")</f>
        <v>#VALUE!</v>
      </c>
      <c r="BB30" s="325" t="e" cm="1">
        <f t="array" aca="1" ref="BB30" ca="1">IF(INDIRECT(ADDRESS(ROW($AO$4)+$AO30-1,COLUMN(AC$3)))=INDIRECT(ADDRESS(ROW(),COLUMN(AC$3))),"","NG")</f>
        <v>#VALUE!</v>
      </c>
      <c r="BC30" s="325" t="e" cm="1">
        <f t="array" aca="1" ref="BC30" ca="1">IF(INDIRECT(ADDRESS(ROW($AO$4)+$AO30-1,COLUMN(AD$3)))=INDIRECT(ADDRESS(ROW(),COLUMN(AD$3))),"","NG")</f>
        <v>#VALUE!</v>
      </c>
      <c r="BD30" s="325" t="e" cm="1">
        <f t="array" aca="1" ref="BD30" ca="1">IF(INDIRECT(ADDRESS(ROW($AO$4)+$AO30-1,COLUMN(AF$3)))=INDIRECT(ADDRESS(ROW(),COLUMN(AF$3))),"","NG")</f>
        <v>#VALUE!</v>
      </c>
      <c r="BE30" s="325" t="e" cm="1">
        <f t="array" aca="1" ref="BE30" ca="1">IF(INDIRECT(ADDRESS(ROW($AO$4)+$AO30-1,COLUMN(AG$3)))=INDIRECT(ADDRESS(ROW(),COLUMN(AG$3))),"","NG")</f>
        <v>#VALUE!</v>
      </c>
      <c r="BF30" s="325" t="e" cm="1">
        <f t="array" aca="1" ref="BF30" ca="1">IF(INDIRECT(ADDRESS(ROW($AO$4)+$AO30-1,COLUMN(AH$3)))=INDIRECT(ADDRESS(ROW(),COLUMN(AH$3))),"","NG")</f>
        <v>#VALUE!</v>
      </c>
      <c r="BG30" s="325" t="e" cm="1">
        <f t="array" aca="1" ref="BG30" ca="1">IF(INDIRECT(ADDRESS(ROW($AO$4)+$AO30-1,COLUMN(AI$3)))=INDIRECT(ADDRESS(ROW(),COLUMN(AI$3))),"","NG")</f>
        <v>#VALUE!</v>
      </c>
      <c r="BH30" s="325" t="e" cm="1">
        <f t="array" aca="1" ref="BH30" ca="1">IF(INDIRECT(ADDRESS(ROW($AO$4)+$AO30-1,COLUMN(AJ$3)))=INDIRECT(ADDRESS(ROW(),COLUMN(AJ$3))),"","NG")</f>
        <v>#VALUE!</v>
      </c>
    </row>
    <row r="31" spans="1:60" x14ac:dyDescent="0.4">
      <c r="H31" s="305">
        <f t="shared" si="7"/>
        <v>28</v>
      </c>
      <c r="I31" s="80">
        <v>23</v>
      </c>
      <c r="J31" s="80">
        <v>3</v>
      </c>
      <c r="K31" s="277" t="str">
        <f t="shared" si="3"/>
        <v>10月1日(日)</v>
      </c>
      <c r="L31" s="312" t="str">
        <f t="shared" si="8"/>
        <v>(23) 馬旅賞　引退競走馬杯 (障害)</v>
      </c>
      <c r="M31" s="81" t="s">
        <v>1849</v>
      </c>
      <c r="N31" s="280" t="s">
        <v>162</v>
      </c>
      <c r="O31" s="283">
        <v>10000</v>
      </c>
      <c r="P31" s="283" t="s">
        <v>8</v>
      </c>
      <c r="Q31" s="283" t="s">
        <v>8</v>
      </c>
      <c r="R31" s="283">
        <v>8000</v>
      </c>
      <c r="S31" s="271"/>
      <c r="T31" s="80">
        <f t="shared" si="4"/>
        <v>28</v>
      </c>
      <c r="U31" s="80">
        <f t="shared" si="5"/>
        <v>23</v>
      </c>
      <c r="V31" s="80" t="s">
        <v>12</v>
      </c>
      <c r="W31" s="80" t="s">
        <v>11</v>
      </c>
      <c r="X31" s="80">
        <v>1</v>
      </c>
      <c r="Y31" s="80">
        <v>1</v>
      </c>
      <c r="Z31" s="80">
        <v>1</v>
      </c>
      <c r="AA31" s="80">
        <v>1</v>
      </c>
      <c r="AB31" s="80">
        <v>1</v>
      </c>
      <c r="AC31" s="80">
        <v>1</v>
      </c>
      <c r="AD31" s="271" t="s">
        <v>391</v>
      </c>
      <c r="AE31" s="271" t="str">
        <f>IF(AD31&lt;&gt;"",VLOOKUP(AD31,リスト!$R$12:$S$18,2,FALSE),"")</f>
        <v>リスト!$J$6:$J$7</v>
      </c>
      <c r="AF31" s="271" t="s">
        <v>409</v>
      </c>
      <c r="AG31" s="308">
        <v>2</v>
      </c>
      <c r="AH31" s="308">
        <v>90</v>
      </c>
      <c r="AI31" s="308">
        <v>30</v>
      </c>
      <c r="AJ31" s="308">
        <v>0</v>
      </c>
      <c r="AK31" s="126"/>
      <c r="AM31" s="327" t="str">
        <f t="shared" si="9"/>
        <v>馬旅賞　引退競走馬杯 (障害)-</v>
      </c>
      <c r="AN31" s="44">
        <f t="shared" si="6"/>
        <v>31</v>
      </c>
      <c r="AO31" s="44">
        <f t="shared" si="10"/>
        <v>28</v>
      </c>
      <c r="AP31" s="325" t="e" cm="1">
        <f t="array" aca="1" ref="AP31" ca="1">IF(INDIRECT(ADDRESS(ROW($AO$4)+$AO31-1,COLUMN(O$3)))=INDIRECT(ADDRESS(ROW(),COLUMN(O$3))),"","NG")</f>
        <v>#VALUE!</v>
      </c>
      <c r="AQ31" s="325" t="e" cm="1">
        <f t="array" aca="1" ref="AQ31" ca="1">IF(INDIRECT(ADDRESS(ROW($AO$4)+$AO31-1,COLUMN(P$3)))=INDIRECT(ADDRESS(ROW(),COLUMN(P$3))),"","NG")</f>
        <v>#VALUE!</v>
      </c>
      <c r="AR31" s="325" t="e" cm="1">
        <f t="array" aca="1" ref="AR31" ca="1">IF(INDIRECT(ADDRESS(ROW($AO$4)+$AO31-1,COLUMN(Q$3)))=INDIRECT(ADDRESS(ROW(),COLUMN(Q$3))),"","NG")</f>
        <v>#VALUE!</v>
      </c>
      <c r="AS31" s="325" t="e" cm="1">
        <f t="array" aca="1" ref="AS31" ca="1">IF(INDIRECT(ADDRESS(ROW($AO$4)+$AO31-1,COLUMN(R$3)))=INDIRECT(ADDRESS(ROW(),COLUMN(R$3))),"","NG")</f>
        <v>#VALUE!</v>
      </c>
      <c r="AT31" s="325" t="e" cm="1">
        <f t="array" aca="1" ref="AT31" ca="1">IF(INDIRECT(ADDRESS(ROW($AO$4)+$AO31-1,COLUMN(S$3)))=INDIRECT(ADDRESS(ROW(),COLUMN(S$3))),"","NG")</f>
        <v>#VALUE!</v>
      </c>
      <c r="AU31" s="325" t="e" cm="1">
        <f t="array" aca="1" ref="AU31" ca="1">IF(INDIRECT(ADDRESS(ROW($AO$4)+$AO31-1,COLUMN(V$3)))=INDIRECT(ADDRESS(ROW(),COLUMN(V$3))),"","NG")</f>
        <v>#VALUE!</v>
      </c>
      <c r="AV31" s="325" t="e" cm="1">
        <f t="array" aca="1" ref="AV31" ca="1">IF(INDIRECT(ADDRESS(ROW($AO$4)+$AO31-1,COLUMN(W$3)))=INDIRECT(ADDRESS(ROW(),COLUMN(W$3))),"","NG")</f>
        <v>#VALUE!</v>
      </c>
      <c r="AW31" s="325" t="e" cm="1">
        <f t="array" aca="1" ref="AW31" ca="1">IF(INDIRECT(ADDRESS(ROW($AO$4)+$AO31-1,COLUMN(X$3)))=INDIRECT(ADDRESS(ROW(),COLUMN(X$3))),"","NG")</f>
        <v>#VALUE!</v>
      </c>
      <c r="AX31" s="325" t="e" cm="1">
        <f t="array" aca="1" ref="AX31" ca="1">IF(INDIRECT(ADDRESS(ROW($AO$4)+$AO31-1,COLUMN(Y$3)))=INDIRECT(ADDRESS(ROW(),COLUMN(Y$3))),"","NG")</f>
        <v>#VALUE!</v>
      </c>
      <c r="AY31" s="325" t="e" cm="1">
        <f t="array" aca="1" ref="AY31" ca="1">IF(INDIRECT(ADDRESS(ROW($AO$4)+$AO31-1,COLUMN(Z$3)))=INDIRECT(ADDRESS(ROW(),COLUMN(Z$3))),"","NG")</f>
        <v>#VALUE!</v>
      </c>
      <c r="AZ31" s="325" t="e" cm="1">
        <f t="array" aca="1" ref="AZ31" ca="1">IF(INDIRECT(ADDRESS(ROW($AO$4)+$AO31-1,COLUMN(AA$3)))=INDIRECT(ADDRESS(ROW(),COLUMN(AA$3))),"","NG")</f>
        <v>#VALUE!</v>
      </c>
      <c r="BA31" s="325" t="e" cm="1">
        <f t="array" aca="1" ref="BA31" ca="1">IF(INDIRECT(ADDRESS(ROW($AO$4)+$AO31-1,COLUMN(AB$3)))=INDIRECT(ADDRESS(ROW(),COLUMN(AB$3))),"","NG")</f>
        <v>#VALUE!</v>
      </c>
      <c r="BB31" s="325" t="e" cm="1">
        <f t="array" aca="1" ref="BB31" ca="1">IF(INDIRECT(ADDRESS(ROW($AO$4)+$AO31-1,COLUMN(AC$3)))=INDIRECT(ADDRESS(ROW(),COLUMN(AC$3))),"","NG")</f>
        <v>#VALUE!</v>
      </c>
      <c r="BC31" s="325" t="e" cm="1">
        <f t="array" aca="1" ref="BC31" ca="1">IF(INDIRECT(ADDRESS(ROW($AO$4)+$AO31-1,COLUMN(AD$3)))=INDIRECT(ADDRESS(ROW(),COLUMN(AD$3))),"","NG")</f>
        <v>#VALUE!</v>
      </c>
      <c r="BD31" s="325" t="e" cm="1">
        <f t="array" aca="1" ref="BD31" ca="1">IF(INDIRECT(ADDRESS(ROW($AO$4)+$AO31-1,COLUMN(AF$3)))=INDIRECT(ADDRESS(ROW(),COLUMN(AF$3))),"","NG")</f>
        <v>#VALUE!</v>
      </c>
      <c r="BE31" s="325" t="e" cm="1">
        <f t="array" aca="1" ref="BE31" ca="1">IF(INDIRECT(ADDRESS(ROW($AO$4)+$AO31-1,COLUMN(AG$3)))=INDIRECT(ADDRESS(ROW(),COLUMN(AG$3))),"","NG")</f>
        <v>#VALUE!</v>
      </c>
      <c r="BF31" s="325" t="e" cm="1">
        <f t="array" aca="1" ref="BF31" ca="1">IF(INDIRECT(ADDRESS(ROW($AO$4)+$AO31-1,COLUMN(AH$3)))=INDIRECT(ADDRESS(ROW(),COLUMN(AH$3))),"","NG")</f>
        <v>#VALUE!</v>
      </c>
      <c r="BG31" s="325" t="e" cm="1">
        <f t="array" aca="1" ref="BG31" ca="1">IF(INDIRECT(ADDRESS(ROW($AO$4)+$AO31-1,COLUMN(AI$3)))=INDIRECT(ADDRESS(ROW(),COLUMN(AI$3))),"","NG")</f>
        <v>#VALUE!</v>
      </c>
      <c r="BH31" s="325" t="e" cm="1">
        <f t="array" aca="1" ref="BH31" ca="1">IF(INDIRECT(ADDRESS(ROW($AO$4)+$AO31-1,COLUMN(AJ$3)))=INDIRECT(ADDRESS(ROW(),COLUMN(AJ$3))),"","NG")</f>
        <v>#VALUE!</v>
      </c>
    </row>
    <row r="32" spans="1:60" x14ac:dyDescent="0.4">
      <c r="H32" s="305">
        <f t="shared" si="7"/>
        <v>29</v>
      </c>
      <c r="I32" s="80">
        <v>24</v>
      </c>
      <c r="J32" s="80">
        <v>3</v>
      </c>
      <c r="K32" s="277" t="str">
        <f t="shared" si="3"/>
        <v>10月1日(日)</v>
      </c>
      <c r="L32" s="312" t="str">
        <f t="shared" si="8"/>
        <v>(24) 小障害 90cmクラス</v>
      </c>
      <c r="M32" s="81" t="s">
        <v>1771</v>
      </c>
      <c r="N32" s="280" t="s">
        <v>162</v>
      </c>
      <c r="O32" s="283">
        <v>11000</v>
      </c>
      <c r="P32" s="283">
        <v>9000</v>
      </c>
      <c r="Q32" s="283">
        <v>9000</v>
      </c>
      <c r="R32" s="283">
        <v>9000</v>
      </c>
      <c r="S32" s="271"/>
      <c r="T32" s="80">
        <f t="shared" si="4"/>
        <v>29</v>
      </c>
      <c r="U32" s="80">
        <f t="shared" si="5"/>
        <v>24</v>
      </c>
      <c r="V32" s="80" t="s">
        <v>12</v>
      </c>
      <c r="W32" s="80" t="s">
        <v>11</v>
      </c>
      <c r="X32" s="80">
        <v>1</v>
      </c>
      <c r="Y32" s="80">
        <v>1</v>
      </c>
      <c r="Z32" s="80">
        <v>1</v>
      </c>
      <c r="AA32" s="80">
        <v>1</v>
      </c>
      <c r="AB32" s="80">
        <v>1</v>
      </c>
      <c r="AC32" s="80">
        <v>1</v>
      </c>
      <c r="AD32" s="271" t="s">
        <v>251</v>
      </c>
      <c r="AE32" s="271" t="str">
        <f>IF(AD32&lt;&gt;"",VLOOKUP(AD32,リスト!$R$12:$S$18,2,FALSE),"")</f>
        <v>リスト!$J$2:$J$5</v>
      </c>
      <c r="AF32" s="271" t="s">
        <v>409</v>
      </c>
      <c r="AG32" s="308">
        <v>2</v>
      </c>
      <c r="AH32" s="308">
        <v>90</v>
      </c>
      <c r="AI32" s="308">
        <v>30</v>
      </c>
      <c r="AJ32" s="308">
        <v>0</v>
      </c>
      <c r="AK32" s="126"/>
      <c r="AM32" s="327" t="str">
        <f t="shared" si="9"/>
        <v>小障害 90cmクラス-</v>
      </c>
      <c r="AN32" s="44">
        <f t="shared" si="6"/>
        <v>9</v>
      </c>
      <c r="AO32" s="44">
        <f t="shared" si="10"/>
        <v>6</v>
      </c>
      <c r="AP32" s="325" t="e" cm="1">
        <f t="array" aca="1" ref="AP32" ca="1">IF(INDIRECT(ADDRESS(ROW($AO$4)+$AO32-1,COLUMN(O$3)))=INDIRECT(ADDRESS(ROW(),COLUMN(O$3))),"","NG")</f>
        <v>#VALUE!</v>
      </c>
      <c r="AQ32" s="325" t="e" cm="1">
        <f t="array" aca="1" ref="AQ32" ca="1">IF(INDIRECT(ADDRESS(ROW($AO$4)+$AO32-1,COLUMN(P$3)))=INDIRECT(ADDRESS(ROW(),COLUMN(P$3))),"","NG")</f>
        <v>#VALUE!</v>
      </c>
      <c r="AR32" s="325" t="e" cm="1">
        <f t="array" aca="1" ref="AR32" ca="1">IF(INDIRECT(ADDRESS(ROW($AO$4)+$AO32-1,COLUMN(Q$3)))=INDIRECT(ADDRESS(ROW(),COLUMN(Q$3))),"","NG")</f>
        <v>#VALUE!</v>
      </c>
      <c r="AS32" s="325" t="e" cm="1">
        <f t="array" aca="1" ref="AS32" ca="1">IF(INDIRECT(ADDRESS(ROW($AO$4)+$AO32-1,COLUMN(R$3)))=INDIRECT(ADDRESS(ROW(),COLUMN(R$3))),"","NG")</f>
        <v>#VALUE!</v>
      </c>
      <c r="AT32" s="325" t="e" cm="1">
        <f t="array" aca="1" ref="AT32" ca="1">IF(INDIRECT(ADDRESS(ROW($AO$4)+$AO32-1,COLUMN(S$3)))=INDIRECT(ADDRESS(ROW(),COLUMN(S$3))),"","NG")</f>
        <v>#VALUE!</v>
      </c>
      <c r="AU32" s="325" t="e" cm="1">
        <f t="array" aca="1" ref="AU32" ca="1">IF(INDIRECT(ADDRESS(ROW($AO$4)+$AO32-1,COLUMN(V$3)))=INDIRECT(ADDRESS(ROW(),COLUMN(V$3))),"","NG")</f>
        <v>#VALUE!</v>
      </c>
      <c r="AV32" s="325" t="e" cm="1">
        <f t="array" aca="1" ref="AV32" ca="1">IF(INDIRECT(ADDRESS(ROW($AO$4)+$AO32-1,COLUMN(W$3)))=INDIRECT(ADDRESS(ROW(),COLUMN(W$3))),"","NG")</f>
        <v>#VALUE!</v>
      </c>
      <c r="AW32" s="325" t="e" cm="1">
        <f t="array" aca="1" ref="AW32" ca="1">IF(INDIRECT(ADDRESS(ROW($AO$4)+$AO32-1,COLUMN(X$3)))=INDIRECT(ADDRESS(ROW(),COLUMN(X$3))),"","NG")</f>
        <v>#VALUE!</v>
      </c>
      <c r="AX32" s="325" t="e" cm="1">
        <f t="array" aca="1" ref="AX32" ca="1">IF(INDIRECT(ADDRESS(ROW($AO$4)+$AO32-1,COLUMN(Y$3)))=INDIRECT(ADDRESS(ROW(),COLUMN(Y$3))),"","NG")</f>
        <v>#VALUE!</v>
      </c>
      <c r="AY32" s="325" t="e" cm="1">
        <f t="array" aca="1" ref="AY32" ca="1">IF(INDIRECT(ADDRESS(ROW($AO$4)+$AO32-1,COLUMN(Z$3)))=INDIRECT(ADDRESS(ROW(),COLUMN(Z$3))),"","NG")</f>
        <v>#VALUE!</v>
      </c>
      <c r="AZ32" s="325" t="e" cm="1">
        <f t="array" aca="1" ref="AZ32" ca="1">IF(INDIRECT(ADDRESS(ROW($AO$4)+$AO32-1,COLUMN(AA$3)))=INDIRECT(ADDRESS(ROW(),COLUMN(AA$3))),"","NG")</f>
        <v>#VALUE!</v>
      </c>
      <c r="BA32" s="325" t="e" cm="1">
        <f t="array" aca="1" ref="BA32" ca="1">IF(INDIRECT(ADDRESS(ROW($AO$4)+$AO32-1,COLUMN(AB$3)))=INDIRECT(ADDRESS(ROW(),COLUMN(AB$3))),"","NG")</f>
        <v>#VALUE!</v>
      </c>
      <c r="BB32" s="325" t="e" cm="1">
        <f t="array" aca="1" ref="BB32" ca="1">IF(INDIRECT(ADDRESS(ROW($AO$4)+$AO32-1,COLUMN(AC$3)))=INDIRECT(ADDRESS(ROW(),COLUMN(AC$3))),"","NG")</f>
        <v>#VALUE!</v>
      </c>
      <c r="BC32" s="325" t="e" cm="1">
        <f t="array" aca="1" ref="BC32" ca="1">IF(INDIRECT(ADDRESS(ROW($AO$4)+$AO32-1,COLUMN(AD$3)))=INDIRECT(ADDRESS(ROW(),COLUMN(AD$3))),"","NG")</f>
        <v>#VALUE!</v>
      </c>
      <c r="BD32" s="325" t="e" cm="1">
        <f t="array" aca="1" ref="BD32" ca="1">IF(INDIRECT(ADDRESS(ROW($AO$4)+$AO32-1,COLUMN(AF$3)))=INDIRECT(ADDRESS(ROW(),COLUMN(AF$3))),"","NG")</f>
        <v>#VALUE!</v>
      </c>
      <c r="BE32" s="325" t="e" cm="1">
        <f t="array" aca="1" ref="BE32" ca="1">IF(INDIRECT(ADDRESS(ROW($AO$4)+$AO32-1,COLUMN(AG$3)))=INDIRECT(ADDRESS(ROW(),COLUMN(AG$3))),"","NG")</f>
        <v>#VALUE!</v>
      </c>
      <c r="BF32" s="325" t="e" cm="1">
        <f t="array" aca="1" ref="BF32" ca="1">IF(INDIRECT(ADDRESS(ROW($AO$4)+$AO32-1,COLUMN(AH$3)))=INDIRECT(ADDRESS(ROW(),COLUMN(AH$3))),"","NG")</f>
        <v>#VALUE!</v>
      </c>
      <c r="BG32" s="325" t="e" cm="1">
        <f t="array" aca="1" ref="BG32" ca="1">IF(INDIRECT(ADDRESS(ROW($AO$4)+$AO32-1,COLUMN(AI$3)))=INDIRECT(ADDRESS(ROW(),COLUMN(AI$3))),"","NG")</f>
        <v>#VALUE!</v>
      </c>
      <c r="BH32" s="325" t="e" cm="1">
        <f t="array" aca="1" ref="BH32" ca="1">IF(INDIRECT(ADDRESS(ROW($AO$4)+$AO32-1,COLUMN(AJ$3)))=INDIRECT(ADDRESS(ROW(),COLUMN(AJ$3))),"","NG")</f>
        <v>#VALUE!</v>
      </c>
    </row>
    <row r="33" spans="8:60" x14ac:dyDescent="0.4">
      <c r="H33" s="305">
        <f t="shared" si="7"/>
        <v>30</v>
      </c>
      <c r="I33" s="80">
        <v>25</v>
      </c>
      <c r="J33" s="80">
        <v>3</v>
      </c>
      <c r="K33" s="277" t="str">
        <f t="shared" si="3"/>
        <v>10月1日(日)</v>
      </c>
      <c r="L33" s="312" t="str">
        <f t="shared" si="8"/>
        <v>(25) 小障害100cmクラス</v>
      </c>
      <c r="M33" s="81" t="s">
        <v>157</v>
      </c>
      <c r="N33" s="280" t="s">
        <v>162</v>
      </c>
      <c r="O33" s="283">
        <v>11000</v>
      </c>
      <c r="P33" s="283">
        <v>9000</v>
      </c>
      <c r="Q33" s="283">
        <v>9000</v>
      </c>
      <c r="R33" s="283">
        <v>9000</v>
      </c>
      <c r="S33" s="271"/>
      <c r="T33" s="80">
        <f t="shared" si="4"/>
        <v>30</v>
      </c>
      <c r="U33" s="80">
        <f t="shared" si="5"/>
        <v>25</v>
      </c>
      <c r="V33" s="80" t="s">
        <v>12</v>
      </c>
      <c r="W33" s="80" t="s">
        <v>11</v>
      </c>
      <c r="X33" s="80">
        <v>1</v>
      </c>
      <c r="Y33" s="80">
        <v>1</v>
      </c>
      <c r="Z33" s="80">
        <v>1</v>
      </c>
      <c r="AA33" s="80">
        <v>1</v>
      </c>
      <c r="AB33" s="80">
        <v>1</v>
      </c>
      <c r="AC33" s="80">
        <v>1</v>
      </c>
      <c r="AD33" s="271" t="s">
        <v>251</v>
      </c>
      <c r="AE33" s="271" t="str">
        <f>IF(AD33&lt;&gt;"",VLOOKUP(AD33,リスト!$R$12:$S$18,2,FALSE),"")</f>
        <v>リスト!$J$2:$J$5</v>
      </c>
      <c r="AF33" s="271" t="s">
        <v>409</v>
      </c>
      <c r="AG33" s="308">
        <v>2</v>
      </c>
      <c r="AH33" s="308">
        <v>90</v>
      </c>
      <c r="AI33" s="308">
        <v>30</v>
      </c>
      <c r="AJ33" s="308">
        <v>0</v>
      </c>
      <c r="AK33" s="126"/>
      <c r="AM33" s="327" t="str">
        <f t="shared" si="9"/>
        <v>小障害100cmクラス-</v>
      </c>
      <c r="AN33" s="44">
        <f t="shared" si="6"/>
        <v>10</v>
      </c>
      <c r="AO33" s="44">
        <f t="shared" si="10"/>
        <v>7</v>
      </c>
      <c r="AP33" s="325" t="e" cm="1">
        <f t="array" aca="1" ref="AP33" ca="1">IF(INDIRECT(ADDRESS(ROW($AO$4)+$AO33-1,COLUMN(O$3)))=INDIRECT(ADDRESS(ROW(),COLUMN(O$3))),"","NG")</f>
        <v>#VALUE!</v>
      </c>
      <c r="AQ33" s="325" t="e" cm="1">
        <f t="array" aca="1" ref="AQ33" ca="1">IF(INDIRECT(ADDRESS(ROW($AO$4)+$AO33-1,COLUMN(P$3)))=INDIRECT(ADDRESS(ROW(),COLUMN(P$3))),"","NG")</f>
        <v>#VALUE!</v>
      </c>
      <c r="AR33" s="325" t="e" cm="1">
        <f t="array" aca="1" ref="AR33" ca="1">IF(INDIRECT(ADDRESS(ROW($AO$4)+$AO33-1,COLUMN(Q$3)))=INDIRECT(ADDRESS(ROW(),COLUMN(Q$3))),"","NG")</f>
        <v>#VALUE!</v>
      </c>
      <c r="AS33" s="325" t="e" cm="1">
        <f t="array" aca="1" ref="AS33" ca="1">IF(INDIRECT(ADDRESS(ROW($AO$4)+$AO33-1,COLUMN(R$3)))=INDIRECT(ADDRESS(ROW(),COLUMN(R$3))),"","NG")</f>
        <v>#VALUE!</v>
      </c>
      <c r="AT33" s="325" t="e" cm="1">
        <f t="array" aca="1" ref="AT33" ca="1">IF(INDIRECT(ADDRESS(ROW($AO$4)+$AO33-1,COLUMN(S$3)))=INDIRECT(ADDRESS(ROW(),COLUMN(S$3))),"","NG")</f>
        <v>#VALUE!</v>
      </c>
      <c r="AU33" s="325" t="e" cm="1">
        <f t="array" aca="1" ref="AU33" ca="1">IF(INDIRECT(ADDRESS(ROW($AO$4)+$AO33-1,COLUMN(V$3)))=INDIRECT(ADDRESS(ROW(),COLUMN(V$3))),"","NG")</f>
        <v>#VALUE!</v>
      </c>
      <c r="AV33" s="325" t="e" cm="1">
        <f t="array" aca="1" ref="AV33" ca="1">IF(INDIRECT(ADDRESS(ROW($AO$4)+$AO33-1,COLUMN(W$3)))=INDIRECT(ADDRESS(ROW(),COLUMN(W$3))),"","NG")</f>
        <v>#VALUE!</v>
      </c>
      <c r="AW33" s="325" t="e" cm="1">
        <f t="array" aca="1" ref="AW33" ca="1">IF(INDIRECT(ADDRESS(ROW($AO$4)+$AO33-1,COLUMN(X$3)))=INDIRECT(ADDRESS(ROW(),COLUMN(X$3))),"","NG")</f>
        <v>#VALUE!</v>
      </c>
      <c r="AX33" s="325" t="e" cm="1">
        <f t="array" aca="1" ref="AX33" ca="1">IF(INDIRECT(ADDRESS(ROW($AO$4)+$AO33-1,COLUMN(Y$3)))=INDIRECT(ADDRESS(ROW(),COLUMN(Y$3))),"","NG")</f>
        <v>#VALUE!</v>
      </c>
      <c r="AY33" s="325" t="e" cm="1">
        <f t="array" aca="1" ref="AY33" ca="1">IF(INDIRECT(ADDRESS(ROW($AO$4)+$AO33-1,COLUMN(Z$3)))=INDIRECT(ADDRESS(ROW(),COLUMN(Z$3))),"","NG")</f>
        <v>#VALUE!</v>
      </c>
      <c r="AZ33" s="325" t="e" cm="1">
        <f t="array" aca="1" ref="AZ33" ca="1">IF(INDIRECT(ADDRESS(ROW($AO$4)+$AO33-1,COLUMN(AA$3)))=INDIRECT(ADDRESS(ROW(),COLUMN(AA$3))),"","NG")</f>
        <v>#VALUE!</v>
      </c>
      <c r="BA33" s="325" t="e" cm="1">
        <f t="array" aca="1" ref="BA33" ca="1">IF(INDIRECT(ADDRESS(ROW($AO$4)+$AO33-1,COLUMN(AB$3)))=INDIRECT(ADDRESS(ROW(),COLUMN(AB$3))),"","NG")</f>
        <v>#VALUE!</v>
      </c>
      <c r="BB33" s="325" t="e" cm="1">
        <f t="array" aca="1" ref="BB33" ca="1">IF(INDIRECT(ADDRESS(ROW($AO$4)+$AO33-1,COLUMN(AC$3)))=INDIRECT(ADDRESS(ROW(),COLUMN(AC$3))),"","NG")</f>
        <v>#VALUE!</v>
      </c>
      <c r="BC33" s="325" t="e" cm="1">
        <f t="array" aca="1" ref="BC33" ca="1">IF(INDIRECT(ADDRESS(ROW($AO$4)+$AO33-1,COLUMN(AD$3)))=INDIRECT(ADDRESS(ROW(),COLUMN(AD$3))),"","NG")</f>
        <v>#VALUE!</v>
      </c>
      <c r="BD33" s="325" t="e" cm="1">
        <f t="array" aca="1" ref="BD33" ca="1">IF(INDIRECT(ADDRESS(ROW($AO$4)+$AO33-1,COLUMN(AF$3)))=INDIRECT(ADDRESS(ROW(),COLUMN(AF$3))),"","NG")</f>
        <v>#VALUE!</v>
      </c>
      <c r="BE33" s="325" t="e" cm="1">
        <f t="array" aca="1" ref="BE33" ca="1">IF(INDIRECT(ADDRESS(ROW($AO$4)+$AO33-1,COLUMN(AG$3)))=INDIRECT(ADDRESS(ROW(),COLUMN(AG$3))),"","NG")</f>
        <v>#VALUE!</v>
      </c>
      <c r="BF33" s="325" t="e" cm="1">
        <f t="array" aca="1" ref="BF33" ca="1">IF(INDIRECT(ADDRESS(ROW($AO$4)+$AO33-1,COLUMN(AH$3)))=INDIRECT(ADDRESS(ROW(),COLUMN(AH$3))),"","NG")</f>
        <v>#VALUE!</v>
      </c>
      <c r="BG33" s="325" t="e" cm="1">
        <f t="array" aca="1" ref="BG33" ca="1">IF(INDIRECT(ADDRESS(ROW($AO$4)+$AO33-1,COLUMN(AI$3)))=INDIRECT(ADDRESS(ROW(),COLUMN(AI$3))),"","NG")</f>
        <v>#VALUE!</v>
      </c>
      <c r="BH33" s="325" t="e" cm="1">
        <f t="array" aca="1" ref="BH33" ca="1">IF(INDIRECT(ADDRESS(ROW($AO$4)+$AO33-1,COLUMN(AJ$3)))=INDIRECT(ADDRESS(ROW(),COLUMN(AJ$3))),"","NG")</f>
        <v>#VALUE!</v>
      </c>
    </row>
    <row r="34" spans="8:60" x14ac:dyDescent="0.4">
      <c r="H34" s="305">
        <f t="shared" si="7"/>
        <v>31</v>
      </c>
      <c r="I34" s="80">
        <v>26</v>
      </c>
      <c r="J34" s="80">
        <v>3</v>
      </c>
      <c r="K34" s="277" t="str">
        <f t="shared" si="3"/>
        <v>10月1日(日)</v>
      </c>
      <c r="L34" s="312" t="str">
        <f t="shared" si="8"/>
        <v>(26) 中障害D 110cmクラス</v>
      </c>
      <c r="M34" s="81" t="s">
        <v>158</v>
      </c>
      <c r="N34" s="280" t="s">
        <v>162</v>
      </c>
      <c r="O34" s="283">
        <v>13000</v>
      </c>
      <c r="P34" s="283">
        <v>11000</v>
      </c>
      <c r="Q34" s="283">
        <v>11000</v>
      </c>
      <c r="R34" s="283">
        <v>11000</v>
      </c>
      <c r="S34" s="271"/>
      <c r="T34" s="80">
        <f t="shared" si="4"/>
        <v>31</v>
      </c>
      <c r="U34" s="80">
        <f t="shared" si="5"/>
        <v>26</v>
      </c>
      <c r="V34" s="80" t="s">
        <v>12</v>
      </c>
      <c r="W34" s="80" t="s">
        <v>11</v>
      </c>
      <c r="X34" s="80">
        <v>1</v>
      </c>
      <c r="Y34" s="80">
        <v>1</v>
      </c>
      <c r="Z34" s="80">
        <v>1</v>
      </c>
      <c r="AA34" s="80">
        <v>1</v>
      </c>
      <c r="AB34" s="80">
        <v>1</v>
      </c>
      <c r="AC34" s="80">
        <v>1</v>
      </c>
      <c r="AD34" s="271" t="s">
        <v>251</v>
      </c>
      <c r="AE34" s="271" t="str">
        <f>IF(AD34&lt;&gt;"",VLOOKUP(AD34,リスト!$R$12:$S$18,2,FALSE),"")</f>
        <v>リスト!$J$2:$J$5</v>
      </c>
      <c r="AF34" s="271" t="s">
        <v>409</v>
      </c>
      <c r="AG34" s="308">
        <v>2</v>
      </c>
      <c r="AH34" s="308">
        <v>90</v>
      </c>
      <c r="AI34" s="308">
        <v>30</v>
      </c>
      <c r="AJ34" s="308">
        <v>0</v>
      </c>
      <c r="AK34" s="126"/>
      <c r="AM34" s="327" t="str">
        <f t="shared" si="9"/>
        <v>中障害D 110cmクラス-</v>
      </c>
      <c r="AN34" s="44"/>
      <c r="AO34" s="44">
        <f t="shared" si="10"/>
        <v>8</v>
      </c>
      <c r="AP34" s="325" t="e" cm="1">
        <f t="array" aca="1" ref="AP34" ca="1">IF(INDIRECT(ADDRESS(ROW($AO$4)+$AO34-1,COLUMN(O$3)))=INDIRECT(ADDRESS(ROW(),COLUMN(O$3))),"","NG")</f>
        <v>#VALUE!</v>
      </c>
      <c r="AQ34" s="325" t="e" cm="1">
        <f t="array" aca="1" ref="AQ34" ca="1">IF(INDIRECT(ADDRESS(ROW($AO$4)+$AO34-1,COLUMN(P$3)))=INDIRECT(ADDRESS(ROW(),COLUMN(P$3))),"","NG")</f>
        <v>#VALUE!</v>
      </c>
      <c r="AR34" s="325" t="e" cm="1">
        <f t="array" aca="1" ref="AR34" ca="1">IF(INDIRECT(ADDRESS(ROW($AO$4)+$AO34-1,COLUMN(Q$3)))=INDIRECT(ADDRESS(ROW(),COLUMN(Q$3))),"","NG")</f>
        <v>#VALUE!</v>
      </c>
      <c r="AS34" s="325" t="e" cm="1">
        <f t="array" aca="1" ref="AS34" ca="1">IF(INDIRECT(ADDRESS(ROW($AO$4)+$AO34-1,COLUMN(R$3)))=INDIRECT(ADDRESS(ROW(),COLUMN(R$3))),"","NG")</f>
        <v>#VALUE!</v>
      </c>
      <c r="AT34" s="325" t="e" cm="1">
        <f t="array" aca="1" ref="AT34" ca="1">IF(INDIRECT(ADDRESS(ROW($AO$4)+$AO34-1,COLUMN(S$3)))=INDIRECT(ADDRESS(ROW(),COLUMN(S$3))),"","NG")</f>
        <v>#VALUE!</v>
      </c>
      <c r="AU34" s="325" t="e" cm="1">
        <f t="array" aca="1" ref="AU34" ca="1">IF(INDIRECT(ADDRESS(ROW($AO$4)+$AO34-1,COLUMN(V$3)))=INDIRECT(ADDRESS(ROW(),COLUMN(V$3))),"","NG")</f>
        <v>#VALUE!</v>
      </c>
      <c r="AV34" s="325" t="e" cm="1">
        <f t="array" aca="1" ref="AV34" ca="1">IF(INDIRECT(ADDRESS(ROW($AO$4)+$AO34-1,COLUMN(W$3)))=INDIRECT(ADDRESS(ROW(),COLUMN(W$3))),"","NG")</f>
        <v>#VALUE!</v>
      </c>
      <c r="AW34" s="325" t="e" cm="1">
        <f t="array" aca="1" ref="AW34" ca="1">IF(INDIRECT(ADDRESS(ROW($AO$4)+$AO34-1,COLUMN(X$3)))=INDIRECT(ADDRESS(ROW(),COLUMN(X$3))),"","NG")</f>
        <v>#VALUE!</v>
      </c>
      <c r="AX34" s="325" t="e" cm="1">
        <f t="array" aca="1" ref="AX34" ca="1">IF(INDIRECT(ADDRESS(ROW($AO$4)+$AO34-1,COLUMN(Y$3)))=INDIRECT(ADDRESS(ROW(),COLUMN(Y$3))),"","NG")</f>
        <v>#VALUE!</v>
      </c>
      <c r="AY34" s="325" t="e" cm="1">
        <f t="array" aca="1" ref="AY34" ca="1">IF(INDIRECT(ADDRESS(ROW($AO$4)+$AO34-1,COLUMN(Z$3)))=INDIRECT(ADDRESS(ROW(),COLUMN(Z$3))),"","NG")</f>
        <v>#VALUE!</v>
      </c>
      <c r="AZ34" s="325" t="e" cm="1">
        <f t="array" aca="1" ref="AZ34" ca="1">IF(INDIRECT(ADDRESS(ROW($AO$4)+$AO34-1,COLUMN(AA$3)))=INDIRECT(ADDRESS(ROW(),COLUMN(AA$3))),"","NG")</f>
        <v>#VALUE!</v>
      </c>
      <c r="BA34" s="325" t="e" cm="1">
        <f t="array" aca="1" ref="BA34" ca="1">IF(INDIRECT(ADDRESS(ROW($AO$4)+$AO34-1,COLUMN(AB$3)))=INDIRECT(ADDRESS(ROW(),COLUMN(AB$3))),"","NG")</f>
        <v>#VALUE!</v>
      </c>
      <c r="BB34" s="325" t="e" cm="1">
        <f t="array" aca="1" ref="BB34" ca="1">IF(INDIRECT(ADDRESS(ROW($AO$4)+$AO34-1,COLUMN(AC$3)))=INDIRECT(ADDRESS(ROW(),COLUMN(AC$3))),"","NG")</f>
        <v>#VALUE!</v>
      </c>
      <c r="BC34" s="325" t="e" cm="1">
        <f t="array" aca="1" ref="BC34" ca="1">IF(INDIRECT(ADDRESS(ROW($AO$4)+$AO34-1,COLUMN(AD$3)))=INDIRECT(ADDRESS(ROW(),COLUMN(AD$3))),"","NG")</f>
        <v>#VALUE!</v>
      </c>
      <c r="BD34" s="325" t="e" cm="1">
        <f t="array" aca="1" ref="BD34" ca="1">IF(INDIRECT(ADDRESS(ROW($AO$4)+$AO34-1,COLUMN(AF$3)))=INDIRECT(ADDRESS(ROW(),COLUMN(AF$3))),"","NG")</f>
        <v>#VALUE!</v>
      </c>
      <c r="BE34" s="325" t="e" cm="1">
        <f t="array" aca="1" ref="BE34" ca="1">IF(INDIRECT(ADDRESS(ROW($AO$4)+$AO34-1,COLUMN(AG$3)))=INDIRECT(ADDRESS(ROW(),COLUMN(AG$3))),"","NG")</f>
        <v>#VALUE!</v>
      </c>
      <c r="BF34" s="325" t="e" cm="1">
        <f t="array" aca="1" ref="BF34" ca="1">IF(INDIRECT(ADDRESS(ROW($AO$4)+$AO34-1,COLUMN(AH$3)))=INDIRECT(ADDRESS(ROW(),COLUMN(AH$3))),"","NG")</f>
        <v>#VALUE!</v>
      </c>
      <c r="BG34" s="325" t="e" cm="1">
        <f t="array" aca="1" ref="BG34" ca="1">IF(INDIRECT(ADDRESS(ROW($AO$4)+$AO34-1,COLUMN(AI$3)))=INDIRECT(ADDRESS(ROW(),COLUMN(AI$3))),"","NG")</f>
        <v>#VALUE!</v>
      </c>
      <c r="BH34" s="325" t="e" cm="1">
        <f t="array" aca="1" ref="BH34" ca="1">IF(INDIRECT(ADDRESS(ROW($AO$4)+$AO34-1,COLUMN(AJ$3)))=INDIRECT(ADDRESS(ROW(),COLUMN(AJ$3))),"","NG")</f>
        <v>#VALUE!</v>
      </c>
    </row>
    <row r="35" spans="8:60" x14ac:dyDescent="0.4">
      <c r="H35" s="305">
        <f t="shared" si="7"/>
        <v>32</v>
      </c>
      <c r="I35" s="80">
        <v>27</v>
      </c>
      <c r="J35" s="80">
        <v>3</v>
      </c>
      <c r="K35" s="277" t="str">
        <f t="shared" si="3"/>
        <v>10月1日(日)</v>
      </c>
      <c r="L35" s="312" t="str">
        <f t="shared" si="8"/>
        <v>(27) JBG キャロット選手権 (障害)</v>
      </c>
      <c r="M35" s="81" t="s">
        <v>1782</v>
      </c>
      <c r="N35" s="280" t="s">
        <v>162</v>
      </c>
      <c r="O35" s="283" t="s">
        <v>8</v>
      </c>
      <c r="P35" s="283">
        <v>11000</v>
      </c>
      <c r="Q35" s="283" t="s">
        <v>8</v>
      </c>
      <c r="R35" s="283" t="s">
        <v>8</v>
      </c>
      <c r="S35" s="271" t="s">
        <v>99</v>
      </c>
      <c r="T35" s="80">
        <f t="shared" si="4"/>
        <v>32</v>
      </c>
      <c r="U35" s="80">
        <f t="shared" si="5"/>
        <v>27</v>
      </c>
      <c r="V35" s="80" t="s">
        <v>12</v>
      </c>
      <c r="W35" s="80" t="s">
        <v>392</v>
      </c>
      <c r="X35" s="80">
        <v>1</v>
      </c>
      <c r="Y35" s="80">
        <v>1</v>
      </c>
      <c r="Z35" s="80">
        <v>1</v>
      </c>
      <c r="AA35" s="80">
        <v>1</v>
      </c>
      <c r="AB35" s="80">
        <v>1</v>
      </c>
      <c r="AC35" s="80">
        <v>1</v>
      </c>
      <c r="AD35" s="271" t="s">
        <v>254</v>
      </c>
      <c r="AE35" s="271" t="str">
        <f>IF(AD35&lt;&gt;"",VLOOKUP(AD35,リスト!$R$12:$S$18,2,FALSE),"")</f>
        <v>リスト!$J$3:$J$3</v>
      </c>
      <c r="AF35" s="271" t="s">
        <v>409</v>
      </c>
      <c r="AG35" s="308">
        <v>2</v>
      </c>
      <c r="AH35" s="308">
        <v>90</v>
      </c>
      <c r="AI35" s="308">
        <v>30</v>
      </c>
      <c r="AJ35" s="308">
        <v>0</v>
      </c>
      <c r="AK35" s="126"/>
      <c r="AM35" s="327" t="str">
        <f t="shared" si="9"/>
        <v>JBG キャロット選手権 (障害)-</v>
      </c>
      <c r="AN35" s="44"/>
      <c r="AO35" s="44">
        <f t="shared" si="10"/>
        <v>32</v>
      </c>
      <c r="AP35" s="325" t="e" cm="1">
        <f t="array" aca="1" ref="AP35" ca="1">IF(INDIRECT(ADDRESS(ROW($AO$4)+$AO35-1,COLUMN(O$3)))=INDIRECT(ADDRESS(ROW(),COLUMN(O$3))),"","NG")</f>
        <v>#VALUE!</v>
      </c>
      <c r="AQ35" s="325" t="e" cm="1">
        <f t="array" aca="1" ref="AQ35" ca="1">IF(INDIRECT(ADDRESS(ROW($AO$4)+$AO35-1,COLUMN(P$3)))=INDIRECT(ADDRESS(ROW(),COLUMN(P$3))),"","NG")</f>
        <v>#VALUE!</v>
      </c>
      <c r="AR35" s="325" t="e" cm="1">
        <f t="array" aca="1" ref="AR35" ca="1">IF(INDIRECT(ADDRESS(ROW($AO$4)+$AO35-1,COLUMN(Q$3)))=INDIRECT(ADDRESS(ROW(),COLUMN(Q$3))),"","NG")</f>
        <v>#VALUE!</v>
      </c>
      <c r="AS35" s="325" t="e" cm="1">
        <f t="array" aca="1" ref="AS35" ca="1">IF(INDIRECT(ADDRESS(ROW($AO$4)+$AO35-1,COLUMN(R$3)))=INDIRECT(ADDRESS(ROW(),COLUMN(R$3))),"","NG")</f>
        <v>#VALUE!</v>
      </c>
      <c r="AT35" s="325" t="e" cm="1">
        <f t="array" aca="1" ref="AT35" ca="1">IF(INDIRECT(ADDRESS(ROW($AO$4)+$AO35-1,COLUMN(S$3)))=INDIRECT(ADDRESS(ROW(),COLUMN(S$3))),"","NG")</f>
        <v>#VALUE!</v>
      </c>
      <c r="AU35" s="325" t="e" cm="1">
        <f t="array" aca="1" ref="AU35" ca="1">IF(INDIRECT(ADDRESS(ROW($AO$4)+$AO35-1,COLUMN(V$3)))=INDIRECT(ADDRESS(ROW(),COLUMN(V$3))),"","NG")</f>
        <v>#VALUE!</v>
      </c>
      <c r="AV35" s="325" t="e" cm="1">
        <f t="array" aca="1" ref="AV35" ca="1">IF(INDIRECT(ADDRESS(ROW($AO$4)+$AO35-1,COLUMN(W$3)))=INDIRECT(ADDRESS(ROW(),COLUMN(W$3))),"","NG")</f>
        <v>#VALUE!</v>
      </c>
      <c r="AW35" s="325" t="e" cm="1">
        <f t="array" aca="1" ref="AW35" ca="1">IF(INDIRECT(ADDRESS(ROW($AO$4)+$AO35-1,COLUMN(X$3)))=INDIRECT(ADDRESS(ROW(),COLUMN(X$3))),"","NG")</f>
        <v>#VALUE!</v>
      </c>
      <c r="AX35" s="325" t="e" cm="1">
        <f t="array" aca="1" ref="AX35" ca="1">IF(INDIRECT(ADDRESS(ROW($AO$4)+$AO35-1,COLUMN(Y$3)))=INDIRECT(ADDRESS(ROW(),COLUMN(Y$3))),"","NG")</f>
        <v>#VALUE!</v>
      </c>
      <c r="AY35" s="325" t="e" cm="1">
        <f t="array" aca="1" ref="AY35" ca="1">IF(INDIRECT(ADDRESS(ROW($AO$4)+$AO35-1,COLUMN(Z$3)))=INDIRECT(ADDRESS(ROW(),COLUMN(Z$3))),"","NG")</f>
        <v>#VALUE!</v>
      </c>
      <c r="AZ35" s="325" t="e" cm="1">
        <f t="array" aca="1" ref="AZ35" ca="1">IF(INDIRECT(ADDRESS(ROW($AO$4)+$AO35-1,COLUMN(AA$3)))=INDIRECT(ADDRESS(ROW(),COLUMN(AA$3))),"","NG")</f>
        <v>#VALUE!</v>
      </c>
      <c r="BA35" s="325" t="e" cm="1">
        <f t="array" aca="1" ref="BA35" ca="1">IF(INDIRECT(ADDRESS(ROW($AO$4)+$AO35-1,COLUMN(AB$3)))=INDIRECT(ADDRESS(ROW(),COLUMN(AB$3))),"","NG")</f>
        <v>#VALUE!</v>
      </c>
      <c r="BB35" s="325" t="e" cm="1">
        <f t="array" aca="1" ref="BB35" ca="1">IF(INDIRECT(ADDRESS(ROW($AO$4)+$AO35-1,COLUMN(AC$3)))=INDIRECT(ADDRESS(ROW(),COLUMN(AC$3))),"","NG")</f>
        <v>#VALUE!</v>
      </c>
      <c r="BC35" s="325" t="e" cm="1">
        <f t="array" aca="1" ref="BC35" ca="1">IF(INDIRECT(ADDRESS(ROW($AO$4)+$AO35-1,COLUMN(AD$3)))=INDIRECT(ADDRESS(ROW(),COLUMN(AD$3))),"","NG")</f>
        <v>#VALUE!</v>
      </c>
      <c r="BD35" s="325" t="e" cm="1">
        <f t="array" aca="1" ref="BD35" ca="1">IF(INDIRECT(ADDRESS(ROW($AO$4)+$AO35-1,COLUMN(AF$3)))=INDIRECT(ADDRESS(ROW(),COLUMN(AF$3))),"","NG")</f>
        <v>#VALUE!</v>
      </c>
      <c r="BE35" s="325" t="e" cm="1">
        <f t="array" aca="1" ref="BE35" ca="1">IF(INDIRECT(ADDRESS(ROW($AO$4)+$AO35-1,COLUMN(AG$3)))=INDIRECT(ADDRESS(ROW(),COLUMN(AG$3))),"","NG")</f>
        <v>#VALUE!</v>
      </c>
      <c r="BF35" s="325" t="e" cm="1">
        <f t="array" aca="1" ref="BF35" ca="1">IF(INDIRECT(ADDRESS(ROW($AO$4)+$AO35-1,COLUMN(AH$3)))=INDIRECT(ADDRESS(ROW(),COLUMN(AH$3))),"","NG")</f>
        <v>#VALUE!</v>
      </c>
      <c r="BG35" s="325" t="e" cm="1">
        <f t="array" aca="1" ref="BG35" ca="1">IF(INDIRECT(ADDRESS(ROW($AO$4)+$AO35-1,COLUMN(AI$3)))=INDIRECT(ADDRESS(ROW(),COLUMN(AI$3))),"","NG")</f>
        <v>#VALUE!</v>
      </c>
      <c r="BH35" s="325" t="e" cm="1">
        <f t="array" aca="1" ref="BH35" ca="1">IF(INDIRECT(ADDRESS(ROW($AO$4)+$AO35-1,COLUMN(AJ$3)))=INDIRECT(ADDRESS(ROW(),COLUMN(AJ$3))),"","NG")</f>
        <v>#VALUE!</v>
      </c>
    </row>
    <row r="36" spans="8:60" x14ac:dyDescent="0.4">
      <c r="H36" s="305">
        <f t="shared" si="7"/>
        <v>33</v>
      </c>
      <c r="I36" s="80">
        <v>28</v>
      </c>
      <c r="J36" s="80">
        <v>3</v>
      </c>
      <c r="K36" s="277" t="str">
        <f t="shared" si="3"/>
        <v>10月1日(日)</v>
      </c>
      <c r="L36" s="312" t="str">
        <f t="shared" si="8"/>
        <v>(28) 第2課目A馬場馬術競技</v>
      </c>
      <c r="M36" s="81" t="s">
        <v>1778</v>
      </c>
      <c r="N36" s="280" t="s">
        <v>162</v>
      </c>
      <c r="O36" s="283">
        <v>10000</v>
      </c>
      <c r="P36" s="283">
        <v>8000</v>
      </c>
      <c r="Q36" s="283">
        <v>8000</v>
      </c>
      <c r="R36" s="283">
        <v>8000</v>
      </c>
      <c r="S36" s="271"/>
      <c r="T36" s="80">
        <f t="shared" si="4"/>
        <v>33</v>
      </c>
      <c r="U36" s="80">
        <f t="shared" si="5"/>
        <v>28</v>
      </c>
      <c r="V36" s="80" t="s">
        <v>12</v>
      </c>
      <c r="W36" s="80" t="s">
        <v>11</v>
      </c>
      <c r="X36" s="80">
        <v>1</v>
      </c>
      <c r="Y36" s="80">
        <v>1</v>
      </c>
      <c r="Z36" s="80">
        <v>1</v>
      </c>
      <c r="AA36" s="80">
        <v>1</v>
      </c>
      <c r="AB36" s="80">
        <v>1</v>
      </c>
      <c r="AC36" s="80">
        <v>1</v>
      </c>
      <c r="AD36" s="271" t="s">
        <v>251</v>
      </c>
      <c r="AE36" s="271" t="str">
        <f>IF(AD36&lt;&gt;"",VLOOKUP(AD36,リスト!$R$12:$S$18,2,FALSE),"")</f>
        <v>リスト!$J$2:$J$5</v>
      </c>
      <c r="AF36" s="271" t="s">
        <v>416</v>
      </c>
      <c r="AG36" s="308">
        <v>3</v>
      </c>
      <c r="AH36" s="308">
        <v>360</v>
      </c>
      <c r="AI36" s="308">
        <v>30</v>
      </c>
      <c r="AJ36" s="308">
        <v>12</v>
      </c>
      <c r="AK36" s="126"/>
      <c r="AM36" s="327" t="str">
        <f t="shared" si="9"/>
        <v>第2課目A馬場馬術競技-</v>
      </c>
      <c r="AN36" s="44"/>
      <c r="AO36" s="44">
        <f t="shared" si="10"/>
        <v>15</v>
      </c>
      <c r="AP36" s="325" t="e" cm="1">
        <f t="array" aca="1" ref="AP36" ca="1">IF(INDIRECT(ADDRESS(ROW($AO$4)+$AO36-1,COLUMN(O$3)))=INDIRECT(ADDRESS(ROW(),COLUMN(O$3))),"","NG")</f>
        <v>#VALUE!</v>
      </c>
      <c r="AQ36" s="325" t="e" cm="1">
        <f t="array" aca="1" ref="AQ36" ca="1">IF(INDIRECT(ADDRESS(ROW($AO$4)+$AO36-1,COLUMN(P$3)))=INDIRECT(ADDRESS(ROW(),COLUMN(P$3))),"","NG")</f>
        <v>#VALUE!</v>
      </c>
      <c r="AR36" s="325" t="e" cm="1">
        <f t="array" aca="1" ref="AR36" ca="1">IF(INDIRECT(ADDRESS(ROW($AO$4)+$AO36-1,COLUMN(Q$3)))=INDIRECT(ADDRESS(ROW(),COLUMN(Q$3))),"","NG")</f>
        <v>#VALUE!</v>
      </c>
      <c r="AS36" s="325" t="e" cm="1">
        <f t="array" aca="1" ref="AS36" ca="1">IF(INDIRECT(ADDRESS(ROW($AO$4)+$AO36-1,COLUMN(R$3)))=INDIRECT(ADDRESS(ROW(),COLUMN(R$3))),"","NG")</f>
        <v>#VALUE!</v>
      </c>
      <c r="AT36" s="325" t="e" cm="1">
        <f t="array" aca="1" ref="AT36" ca="1">IF(INDIRECT(ADDRESS(ROW($AO$4)+$AO36-1,COLUMN(S$3)))=INDIRECT(ADDRESS(ROW(),COLUMN(S$3))),"","NG")</f>
        <v>#VALUE!</v>
      </c>
      <c r="AU36" s="325" t="e" cm="1">
        <f t="array" aca="1" ref="AU36" ca="1">IF(INDIRECT(ADDRESS(ROW($AO$4)+$AO36-1,COLUMN(V$3)))=INDIRECT(ADDRESS(ROW(),COLUMN(V$3))),"","NG")</f>
        <v>#VALUE!</v>
      </c>
      <c r="AV36" s="325" t="e" cm="1">
        <f t="array" aca="1" ref="AV36" ca="1">IF(INDIRECT(ADDRESS(ROW($AO$4)+$AO36-1,COLUMN(W$3)))=INDIRECT(ADDRESS(ROW(),COLUMN(W$3))),"","NG")</f>
        <v>#VALUE!</v>
      </c>
      <c r="AW36" s="325" t="e" cm="1">
        <f t="array" aca="1" ref="AW36" ca="1">IF(INDIRECT(ADDRESS(ROW($AO$4)+$AO36-1,COLUMN(X$3)))=INDIRECT(ADDRESS(ROW(),COLUMN(X$3))),"","NG")</f>
        <v>#VALUE!</v>
      </c>
      <c r="AX36" s="325" t="e" cm="1">
        <f t="array" aca="1" ref="AX36" ca="1">IF(INDIRECT(ADDRESS(ROW($AO$4)+$AO36-1,COLUMN(Y$3)))=INDIRECT(ADDRESS(ROW(),COLUMN(Y$3))),"","NG")</f>
        <v>#VALUE!</v>
      </c>
      <c r="AY36" s="325" t="e" cm="1">
        <f t="array" aca="1" ref="AY36" ca="1">IF(INDIRECT(ADDRESS(ROW($AO$4)+$AO36-1,COLUMN(Z$3)))=INDIRECT(ADDRESS(ROW(),COLUMN(Z$3))),"","NG")</f>
        <v>#VALUE!</v>
      </c>
      <c r="AZ36" s="325" t="e" cm="1">
        <f t="array" aca="1" ref="AZ36" ca="1">IF(INDIRECT(ADDRESS(ROW($AO$4)+$AO36-1,COLUMN(AA$3)))=INDIRECT(ADDRESS(ROW(),COLUMN(AA$3))),"","NG")</f>
        <v>#VALUE!</v>
      </c>
      <c r="BA36" s="325" t="e" cm="1">
        <f t="array" aca="1" ref="BA36" ca="1">IF(INDIRECT(ADDRESS(ROW($AO$4)+$AO36-1,COLUMN(AB$3)))=INDIRECT(ADDRESS(ROW(),COLUMN(AB$3))),"","NG")</f>
        <v>#VALUE!</v>
      </c>
      <c r="BB36" s="325" t="e" cm="1">
        <f t="array" aca="1" ref="BB36" ca="1">IF(INDIRECT(ADDRESS(ROW($AO$4)+$AO36-1,COLUMN(AC$3)))=INDIRECT(ADDRESS(ROW(),COLUMN(AC$3))),"","NG")</f>
        <v>#VALUE!</v>
      </c>
      <c r="BC36" s="325" t="e" cm="1">
        <f t="array" aca="1" ref="BC36" ca="1">IF(INDIRECT(ADDRESS(ROW($AO$4)+$AO36-1,COLUMN(AD$3)))=INDIRECT(ADDRESS(ROW(),COLUMN(AD$3))),"","NG")</f>
        <v>#VALUE!</v>
      </c>
      <c r="BD36" s="325" t="e" cm="1">
        <f t="array" aca="1" ref="BD36" ca="1">IF(INDIRECT(ADDRESS(ROW($AO$4)+$AO36-1,COLUMN(AF$3)))=INDIRECT(ADDRESS(ROW(),COLUMN(AF$3))),"","NG")</f>
        <v>#VALUE!</v>
      </c>
      <c r="BE36" s="325" t="e" cm="1">
        <f t="array" aca="1" ref="BE36" ca="1">IF(INDIRECT(ADDRESS(ROW($AO$4)+$AO36-1,COLUMN(AG$3)))=INDIRECT(ADDRESS(ROW(),COLUMN(AG$3))),"","NG")</f>
        <v>#VALUE!</v>
      </c>
      <c r="BF36" s="325" t="e" cm="1">
        <f t="array" aca="1" ref="BF36" ca="1">IF(INDIRECT(ADDRESS(ROW($AO$4)+$AO36-1,COLUMN(AH$3)))=INDIRECT(ADDRESS(ROW(),COLUMN(AH$3))),"","NG")</f>
        <v>#VALUE!</v>
      </c>
      <c r="BG36" s="325" t="e" cm="1">
        <f t="array" aca="1" ref="BG36" ca="1">IF(INDIRECT(ADDRESS(ROW($AO$4)+$AO36-1,COLUMN(AI$3)))=INDIRECT(ADDRESS(ROW(),COLUMN(AI$3))),"","NG")</f>
        <v>#VALUE!</v>
      </c>
      <c r="BH36" s="325" t="e" cm="1">
        <f t="array" aca="1" ref="BH36" ca="1">IF(INDIRECT(ADDRESS(ROW($AO$4)+$AO36-1,COLUMN(AJ$3)))=INDIRECT(ADDRESS(ROW(),COLUMN(AJ$3))),"","NG")</f>
        <v>#VALUE!</v>
      </c>
    </row>
    <row r="37" spans="8:60" x14ac:dyDescent="0.4">
      <c r="H37" s="305">
        <f t="shared" si="7"/>
        <v>34</v>
      </c>
      <c r="I37" s="80">
        <v>29</v>
      </c>
      <c r="J37" s="80">
        <v>3</v>
      </c>
      <c r="K37" s="277" t="str">
        <f t="shared" si="3"/>
        <v>10月1日(日)</v>
      </c>
      <c r="L37" s="312" t="str">
        <f t="shared" si="8"/>
        <v>(29) 第2課目B馬場馬術競技</v>
      </c>
      <c r="M37" s="81" t="s">
        <v>1777</v>
      </c>
      <c r="N37" s="280" t="s">
        <v>162</v>
      </c>
      <c r="O37" s="283">
        <v>10000</v>
      </c>
      <c r="P37" s="283">
        <v>8000</v>
      </c>
      <c r="Q37" s="283">
        <v>8000</v>
      </c>
      <c r="R37" s="283">
        <v>8000</v>
      </c>
      <c r="S37" s="271"/>
      <c r="T37" s="80">
        <f t="shared" si="4"/>
        <v>34</v>
      </c>
      <c r="U37" s="80">
        <f t="shared" si="5"/>
        <v>29</v>
      </c>
      <c r="V37" s="80" t="s">
        <v>12</v>
      </c>
      <c r="W37" s="80" t="s">
        <v>1755</v>
      </c>
      <c r="X37" s="80">
        <v>1</v>
      </c>
      <c r="Y37" s="80">
        <v>1</v>
      </c>
      <c r="Z37" s="80">
        <v>1</v>
      </c>
      <c r="AA37" s="80">
        <v>1</v>
      </c>
      <c r="AB37" s="80">
        <v>1</v>
      </c>
      <c r="AC37" s="80">
        <v>1</v>
      </c>
      <c r="AD37" s="271" t="s">
        <v>251</v>
      </c>
      <c r="AE37" s="271" t="str">
        <f>IF(AD37&lt;&gt;"",VLOOKUP(AD37,リスト!$R$12:$S$18,2,FALSE),"")</f>
        <v>リスト!$J$2:$J$5</v>
      </c>
      <c r="AF37" s="271" t="s">
        <v>416</v>
      </c>
      <c r="AG37" s="308">
        <v>3</v>
      </c>
      <c r="AH37" s="308">
        <v>360</v>
      </c>
      <c r="AI37" s="308">
        <v>30</v>
      </c>
      <c r="AJ37" s="308">
        <v>12</v>
      </c>
      <c r="AK37" s="126"/>
      <c r="AM37" s="327" t="str">
        <f t="shared" si="9"/>
        <v>第2課目B馬場馬術競技-</v>
      </c>
      <c r="AN37" s="44"/>
      <c r="AO37" s="44">
        <f t="shared" si="10"/>
        <v>14</v>
      </c>
      <c r="AP37" s="325" t="e" cm="1">
        <f t="array" aca="1" ref="AP37" ca="1">IF(INDIRECT(ADDRESS(ROW($AO$4)+$AO37-1,COLUMN(O$3)))=INDIRECT(ADDRESS(ROW(),COLUMN(O$3))),"","NG")</f>
        <v>#VALUE!</v>
      </c>
      <c r="AQ37" s="325" t="e" cm="1">
        <f t="array" aca="1" ref="AQ37" ca="1">IF(INDIRECT(ADDRESS(ROW($AO$4)+$AO37-1,COLUMN(P$3)))=INDIRECT(ADDRESS(ROW(),COLUMN(P$3))),"","NG")</f>
        <v>#VALUE!</v>
      </c>
      <c r="AR37" s="325" t="e" cm="1">
        <f t="array" aca="1" ref="AR37" ca="1">IF(INDIRECT(ADDRESS(ROW($AO$4)+$AO37-1,COLUMN(Q$3)))=INDIRECT(ADDRESS(ROW(),COLUMN(Q$3))),"","NG")</f>
        <v>#VALUE!</v>
      </c>
      <c r="AS37" s="325" t="e" cm="1">
        <f t="array" aca="1" ref="AS37" ca="1">IF(INDIRECT(ADDRESS(ROW($AO$4)+$AO37-1,COLUMN(R$3)))=INDIRECT(ADDRESS(ROW(),COLUMN(R$3))),"","NG")</f>
        <v>#VALUE!</v>
      </c>
      <c r="AT37" s="325" t="e" cm="1">
        <f t="array" aca="1" ref="AT37" ca="1">IF(INDIRECT(ADDRESS(ROW($AO$4)+$AO37-1,COLUMN(S$3)))=INDIRECT(ADDRESS(ROW(),COLUMN(S$3))),"","NG")</f>
        <v>#VALUE!</v>
      </c>
      <c r="AU37" s="325" t="e" cm="1">
        <f t="array" aca="1" ref="AU37" ca="1">IF(INDIRECT(ADDRESS(ROW($AO$4)+$AO37-1,COLUMN(V$3)))=INDIRECT(ADDRESS(ROW(),COLUMN(V$3))),"","NG")</f>
        <v>#VALUE!</v>
      </c>
      <c r="AV37" s="325" t="e" cm="1">
        <f t="array" aca="1" ref="AV37" ca="1">IF(INDIRECT(ADDRESS(ROW($AO$4)+$AO37-1,COLUMN(W$3)))=INDIRECT(ADDRESS(ROW(),COLUMN(W$3))),"","NG")</f>
        <v>#VALUE!</v>
      </c>
      <c r="AW37" s="325" t="e" cm="1">
        <f t="array" aca="1" ref="AW37" ca="1">IF(INDIRECT(ADDRESS(ROW($AO$4)+$AO37-1,COLUMN(X$3)))=INDIRECT(ADDRESS(ROW(),COLUMN(X$3))),"","NG")</f>
        <v>#VALUE!</v>
      </c>
      <c r="AX37" s="325" t="e" cm="1">
        <f t="array" aca="1" ref="AX37" ca="1">IF(INDIRECT(ADDRESS(ROW($AO$4)+$AO37-1,COLUMN(Y$3)))=INDIRECT(ADDRESS(ROW(),COLUMN(Y$3))),"","NG")</f>
        <v>#VALUE!</v>
      </c>
      <c r="AY37" s="325" t="e" cm="1">
        <f t="array" aca="1" ref="AY37" ca="1">IF(INDIRECT(ADDRESS(ROW($AO$4)+$AO37-1,COLUMN(Z$3)))=INDIRECT(ADDRESS(ROW(),COLUMN(Z$3))),"","NG")</f>
        <v>#VALUE!</v>
      </c>
      <c r="AZ37" s="325" t="e" cm="1">
        <f t="array" aca="1" ref="AZ37" ca="1">IF(INDIRECT(ADDRESS(ROW($AO$4)+$AO37-1,COLUMN(AA$3)))=INDIRECT(ADDRESS(ROW(),COLUMN(AA$3))),"","NG")</f>
        <v>#VALUE!</v>
      </c>
      <c r="BA37" s="325" t="e" cm="1">
        <f t="array" aca="1" ref="BA37" ca="1">IF(INDIRECT(ADDRESS(ROW($AO$4)+$AO37-1,COLUMN(AB$3)))=INDIRECT(ADDRESS(ROW(),COLUMN(AB$3))),"","NG")</f>
        <v>#VALUE!</v>
      </c>
      <c r="BB37" s="325" t="e" cm="1">
        <f t="array" aca="1" ref="BB37" ca="1">IF(INDIRECT(ADDRESS(ROW($AO$4)+$AO37-1,COLUMN(AC$3)))=INDIRECT(ADDRESS(ROW(),COLUMN(AC$3))),"","NG")</f>
        <v>#VALUE!</v>
      </c>
      <c r="BC37" s="325" t="e" cm="1">
        <f t="array" aca="1" ref="BC37" ca="1">IF(INDIRECT(ADDRESS(ROW($AO$4)+$AO37-1,COLUMN(AD$3)))=INDIRECT(ADDRESS(ROW(),COLUMN(AD$3))),"","NG")</f>
        <v>#VALUE!</v>
      </c>
      <c r="BD37" s="325" t="e" cm="1">
        <f t="array" aca="1" ref="BD37" ca="1">IF(INDIRECT(ADDRESS(ROW($AO$4)+$AO37-1,COLUMN(AF$3)))=INDIRECT(ADDRESS(ROW(),COLUMN(AF$3))),"","NG")</f>
        <v>#VALUE!</v>
      </c>
      <c r="BE37" s="325" t="e" cm="1">
        <f t="array" aca="1" ref="BE37" ca="1">IF(INDIRECT(ADDRESS(ROW($AO$4)+$AO37-1,COLUMN(AG$3)))=INDIRECT(ADDRESS(ROW(),COLUMN(AG$3))),"","NG")</f>
        <v>#VALUE!</v>
      </c>
      <c r="BF37" s="325" t="e" cm="1">
        <f t="array" aca="1" ref="BF37" ca="1">IF(INDIRECT(ADDRESS(ROW($AO$4)+$AO37-1,COLUMN(AH$3)))=INDIRECT(ADDRESS(ROW(),COLUMN(AH$3))),"","NG")</f>
        <v>#VALUE!</v>
      </c>
      <c r="BG37" s="325" t="e" cm="1">
        <f t="array" aca="1" ref="BG37" ca="1">IF(INDIRECT(ADDRESS(ROW($AO$4)+$AO37-1,COLUMN(AI$3)))=INDIRECT(ADDRESS(ROW(),COLUMN(AI$3))),"","NG")</f>
        <v>#VALUE!</v>
      </c>
      <c r="BH37" s="325" t="e" cm="1">
        <f t="array" aca="1" ref="BH37" ca="1">IF(INDIRECT(ADDRESS(ROW($AO$4)+$AO37-1,COLUMN(AJ$3)))=INDIRECT(ADDRESS(ROW(),COLUMN(AJ$3))),"","NG")</f>
        <v>#VALUE!</v>
      </c>
    </row>
    <row r="38" spans="8:60" x14ac:dyDescent="0.4">
      <c r="H38" s="305">
        <f t="shared" si="7"/>
        <v>35</v>
      </c>
      <c r="I38" s="80">
        <v>30</v>
      </c>
      <c r="J38" s="80">
        <v>3</v>
      </c>
      <c r="K38" s="277" t="str">
        <f t="shared" si="3"/>
        <v>10月1日(日)</v>
      </c>
      <c r="L38" s="312" t="str">
        <f t="shared" si="8"/>
        <v>(30) 第2課目C馬場馬術競技</v>
      </c>
      <c r="M38" s="81" t="s">
        <v>1776</v>
      </c>
      <c r="N38" s="280" t="s">
        <v>162</v>
      </c>
      <c r="O38" s="283">
        <v>10000</v>
      </c>
      <c r="P38" s="283">
        <v>8000</v>
      </c>
      <c r="Q38" s="283">
        <v>8000</v>
      </c>
      <c r="R38" s="283">
        <v>8000</v>
      </c>
      <c r="S38" s="271"/>
      <c r="T38" s="80">
        <f t="shared" si="4"/>
        <v>35</v>
      </c>
      <c r="U38" s="80">
        <f t="shared" si="5"/>
        <v>30</v>
      </c>
      <c r="V38" s="80" t="s">
        <v>12</v>
      </c>
      <c r="W38" s="80" t="s">
        <v>1755</v>
      </c>
      <c r="X38" s="80">
        <v>1</v>
      </c>
      <c r="Y38" s="80">
        <v>1</v>
      </c>
      <c r="Z38" s="80">
        <v>1</v>
      </c>
      <c r="AA38" s="80">
        <v>1</v>
      </c>
      <c r="AB38" s="80">
        <v>1</v>
      </c>
      <c r="AC38" s="80">
        <v>1</v>
      </c>
      <c r="AD38" s="271" t="s">
        <v>251</v>
      </c>
      <c r="AE38" s="271" t="str">
        <f>IF(AD38&lt;&gt;"",VLOOKUP(AD38,リスト!$R$12:$S$18,2,FALSE),"")</f>
        <v>リスト!$J$2:$J$5</v>
      </c>
      <c r="AF38" s="271" t="s">
        <v>416</v>
      </c>
      <c r="AG38" s="308">
        <v>3</v>
      </c>
      <c r="AH38" s="308">
        <v>360</v>
      </c>
      <c r="AI38" s="308">
        <v>30</v>
      </c>
      <c r="AJ38" s="308">
        <v>12</v>
      </c>
      <c r="AK38" s="126"/>
      <c r="AM38" s="327" t="str">
        <f t="shared" si="9"/>
        <v>第2課目C馬場馬術競技-</v>
      </c>
      <c r="AN38" s="44"/>
      <c r="AO38" s="44">
        <f t="shared" si="10"/>
        <v>13</v>
      </c>
      <c r="AP38" s="325" t="e" cm="1">
        <f t="array" aca="1" ref="AP38" ca="1">IF(INDIRECT(ADDRESS(ROW($AO$4)+$AO38-1,COLUMN(O$3)))=INDIRECT(ADDRESS(ROW(),COLUMN(O$3))),"","NG")</f>
        <v>#VALUE!</v>
      </c>
      <c r="AQ38" s="325" t="e" cm="1">
        <f t="array" aca="1" ref="AQ38" ca="1">IF(INDIRECT(ADDRESS(ROW($AO$4)+$AO38-1,COLUMN(P$3)))=INDIRECT(ADDRESS(ROW(),COLUMN(P$3))),"","NG")</f>
        <v>#VALUE!</v>
      </c>
      <c r="AR38" s="325" t="e" cm="1">
        <f t="array" aca="1" ref="AR38" ca="1">IF(INDIRECT(ADDRESS(ROW($AO$4)+$AO38-1,COLUMN(Q$3)))=INDIRECT(ADDRESS(ROW(),COLUMN(Q$3))),"","NG")</f>
        <v>#VALUE!</v>
      </c>
      <c r="AS38" s="325" t="e" cm="1">
        <f t="array" aca="1" ref="AS38" ca="1">IF(INDIRECT(ADDRESS(ROW($AO$4)+$AO38-1,COLUMN(R$3)))=INDIRECT(ADDRESS(ROW(),COLUMN(R$3))),"","NG")</f>
        <v>#VALUE!</v>
      </c>
      <c r="AT38" s="325" t="e" cm="1">
        <f t="array" aca="1" ref="AT38" ca="1">IF(INDIRECT(ADDRESS(ROW($AO$4)+$AO38-1,COLUMN(S$3)))=INDIRECT(ADDRESS(ROW(),COLUMN(S$3))),"","NG")</f>
        <v>#VALUE!</v>
      </c>
      <c r="AU38" s="325" t="e" cm="1">
        <f t="array" aca="1" ref="AU38" ca="1">IF(INDIRECT(ADDRESS(ROW($AO$4)+$AO38-1,COLUMN(V$3)))=INDIRECT(ADDRESS(ROW(),COLUMN(V$3))),"","NG")</f>
        <v>#VALUE!</v>
      </c>
      <c r="AV38" s="325" t="e" cm="1">
        <f t="array" aca="1" ref="AV38" ca="1">IF(INDIRECT(ADDRESS(ROW($AO$4)+$AO38-1,COLUMN(W$3)))=INDIRECT(ADDRESS(ROW(),COLUMN(W$3))),"","NG")</f>
        <v>#VALUE!</v>
      </c>
      <c r="AW38" s="325" t="e" cm="1">
        <f t="array" aca="1" ref="AW38" ca="1">IF(INDIRECT(ADDRESS(ROW($AO$4)+$AO38-1,COLUMN(X$3)))=INDIRECT(ADDRESS(ROW(),COLUMN(X$3))),"","NG")</f>
        <v>#VALUE!</v>
      </c>
      <c r="AX38" s="325" t="e" cm="1">
        <f t="array" aca="1" ref="AX38" ca="1">IF(INDIRECT(ADDRESS(ROW($AO$4)+$AO38-1,COLUMN(Y$3)))=INDIRECT(ADDRESS(ROW(),COLUMN(Y$3))),"","NG")</f>
        <v>#VALUE!</v>
      </c>
      <c r="AY38" s="325" t="e" cm="1">
        <f t="array" aca="1" ref="AY38" ca="1">IF(INDIRECT(ADDRESS(ROW($AO$4)+$AO38-1,COLUMN(Z$3)))=INDIRECT(ADDRESS(ROW(),COLUMN(Z$3))),"","NG")</f>
        <v>#VALUE!</v>
      </c>
      <c r="AZ38" s="325" t="e" cm="1">
        <f t="array" aca="1" ref="AZ38" ca="1">IF(INDIRECT(ADDRESS(ROW($AO$4)+$AO38-1,COLUMN(AA$3)))=INDIRECT(ADDRESS(ROW(),COLUMN(AA$3))),"","NG")</f>
        <v>#VALUE!</v>
      </c>
      <c r="BA38" s="325" t="e" cm="1">
        <f t="array" aca="1" ref="BA38" ca="1">IF(INDIRECT(ADDRESS(ROW($AO$4)+$AO38-1,COLUMN(AB$3)))=INDIRECT(ADDRESS(ROW(),COLUMN(AB$3))),"","NG")</f>
        <v>#VALUE!</v>
      </c>
      <c r="BB38" s="325" t="e" cm="1">
        <f t="array" aca="1" ref="BB38" ca="1">IF(INDIRECT(ADDRESS(ROW($AO$4)+$AO38-1,COLUMN(AC$3)))=INDIRECT(ADDRESS(ROW(),COLUMN(AC$3))),"","NG")</f>
        <v>#VALUE!</v>
      </c>
      <c r="BC38" s="325" t="e" cm="1">
        <f t="array" aca="1" ref="BC38" ca="1">IF(INDIRECT(ADDRESS(ROW($AO$4)+$AO38-1,COLUMN(AD$3)))=INDIRECT(ADDRESS(ROW(),COLUMN(AD$3))),"","NG")</f>
        <v>#VALUE!</v>
      </c>
      <c r="BD38" s="325" t="e" cm="1">
        <f t="array" aca="1" ref="BD38" ca="1">IF(INDIRECT(ADDRESS(ROW($AO$4)+$AO38-1,COLUMN(AF$3)))=INDIRECT(ADDRESS(ROW(),COLUMN(AF$3))),"","NG")</f>
        <v>#VALUE!</v>
      </c>
      <c r="BE38" s="325" t="e" cm="1">
        <f t="array" aca="1" ref="BE38" ca="1">IF(INDIRECT(ADDRESS(ROW($AO$4)+$AO38-1,COLUMN(AG$3)))=INDIRECT(ADDRESS(ROW(),COLUMN(AG$3))),"","NG")</f>
        <v>#VALUE!</v>
      </c>
      <c r="BF38" s="325" t="e" cm="1">
        <f t="array" aca="1" ref="BF38" ca="1">IF(INDIRECT(ADDRESS(ROW($AO$4)+$AO38-1,COLUMN(AH$3)))=INDIRECT(ADDRESS(ROW(),COLUMN(AH$3))),"","NG")</f>
        <v>#VALUE!</v>
      </c>
      <c r="BG38" s="325" t="e" cm="1">
        <f t="array" aca="1" ref="BG38" ca="1">IF(INDIRECT(ADDRESS(ROW($AO$4)+$AO38-1,COLUMN(AI$3)))=INDIRECT(ADDRESS(ROW(),COLUMN(AI$3))),"","NG")</f>
        <v>#VALUE!</v>
      </c>
      <c r="BH38" s="325" t="e" cm="1">
        <f t="array" aca="1" ref="BH38" ca="1">IF(INDIRECT(ADDRESS(ROW($AO$4)+$AO38-1,COLUMN(AJ$3)))=INDIRECT(ADDRESS(ROW(),COLUMN(AJ$3))),"","NG")</f>
        <v>#VALUE!</v>
      </c>
    </row>
    <row r="39" spans="8:60" x14ac:dyDescent="0.4">
      <c r="H39" s="305">
        <f t="shared" si="7"/>
        <v>36</v>
      </c>
      <c r="I39" s="80">
        <v>31</v>
      </c>
      <c r="J39" s="80">
        <v>3</v>
      </c>
      <c r="K39" s="277" t="str">
        <f t="shared" si="3"/>
        <v>10月1日(日)</v>
      </c>
      <c r="L39" s="312" t="str">
        <f t="shared" si="8"/>
        <v>(31) 引退競走馬杯 (馬場)</v>
      </c>
      <c r="M39" s="81" t="s">
        <v>1850</v>
      </c>
      <c r="N39" s="280" t="s">
        <v>162</v>
      </c>
      <c r="O39" s="283">
        <v>10000</v>
      </c>
      <c r="P39" s="283" t="s">
        <v>8</v>
      </c>
      <c r="Q39" s="283" t="s">
        <v>8</v>
      </c>
      <c r="R39" s="283">
        <v>8000</v>
      </c>
      <c r="S39" s="271"/>
      <c r="T39" s="80">
        <f t="shared" si="4"/>
        <v>36</v>
      </c>
      <c r="U39" s="80">
        <f t="shared" si="5"/>
        <v>31</v>
      </c>
      <c r="V39" s="80" t="s">
        <v>12</v>
      </c>
      <c r="W39" s="80" t="s">
        <v>1755</v>
      </c>
      <c r="X39" s="80">
        <v>1</v>
      </c>
      <c r="Y39" s="80">
        <v>1</v>
      </c>
      <c r="Z39" s="80">
        <v>1</v>
      </c>
      <c r="AA39" s="80">
        <v>1</v>
      </c>
      <c r="AB39" s="80">
        <v>1</v>
      </c>
      <c r="AC39" s="80">
        <v>1</v>
      </c>
      <c r="AD39" s="271" t="s">
        <v>391</v>
      </c>
      <c r="AE39" s="271" t="str">
        <f>IF(AD39&lt;&gt;"",VLOOKUP(AD39,リスト!$R$12:$S$18,2,FALSE),"")</f>
        <v>リスト!$J$6:$J$7</v>
      </c>
      <c r="AF39" s="271" t="s">
        <v>416</v>
      </c>
      <c r="AG39" s="308">
        <v>3</v>
      </c>
      <c r="AH39" s="308">
        <v>360</v>
      </c>
      <c r="AI39" s="308">
        <v>30</v>
      </c>
      <c r="AJ39" s="308">
        <v>12</v>
      </c>
      <c r="AK39" s="126"/>
      <c r="AM39" s="327" t="str">
        <f t="shared" si="9"/>
        <v>引退競走馬杯 (馬場)-</v>
      </c>
      <c r="AN39" s="44"/>
      <c r="AO39" s="44">
        <f t="shared" si="10"/>
        <v>36</v>
      </c>
      <c r="AP39" s="325" t="e" cm="1">
        <f t="array" aca="1" ref="AP39" ca="1">IF(INDIRECT(ADDRESS(ROW($AO$4)+$AO39-1,COLUMN(O$3)))=INDIRECT(ADDRESS(ROW(),COLUMN(O$3))),"","NG")</f>
        <v>#VALUE!</v>
      </c>
      <c r="AQ39" s="325" t="e" cm="1">
        <f t="array" aca="1" ref="AQ39" ca="1">IF(INDIRECT(ADDRESS(ROW($AO$4)+$AO39-1,COLUMN(P$3)))=INDIRECT(ADDRESS(ROW(),COLUMN(P$3))),"","NG")</f>
        <v>#VALUE!</v>
      </c>
      <c r="AR39" s="325" t="e" cm="1">
        <f t="array" aca="1" ref="AR39" ca="1">IF(INDIRECT(ADDRESS(ROW($AO$4)+$AO39-1,COLUMN(Q$3)))=INDIRECT(ADDRESS(ROW(),COLUMN(Q$3))),"","NG")</f>
        <v>#VALUE!</v>
      </c>
      <c r="AS39" s="325" t="e" cm="1">
        <f t="array" aca="1" ref="AS39" ca="1">IF(INDIRECT(ADDRESS(ROW($AO$4)+$AO39-1,COLUMN(R$3)))=INDIRECT(ADDRESS(ROW(),COLUMN(R$3))),"","NG")</f>
        <v>#VALUE!</v>
      </c>
      <c r="AT39" s="325" t="e" cm="1">
        <f t="array" aca="1" ref="AT39" ca="1">IF(INDIRECT(ADDRESS(ROW($AO$4)+$AO39-1,COLUMN(S$3)))=INDIRECT(ADDRESS(ROW(),COLUMN(S$3))),"","NG")</f>
        <v>#VALUE!</v>
      </c>
      <c r="AU39" s="325" t="e" cm="1">
        <f t="array" aca="1" ref="AU39" ca="1">IF(INDIRECT(ADDRESS(ROW($AO$4)+$AO39-1,COLUMN(V$3)))=INDIRECT(ADDRESS(ROW(),COLUMN(V$3))),"","NG")</f>
        <v>#VALUE!</v>
      </c>
      <c r="AV39" s="325" t="e" cm="1">
        <f t="array" aca="1" ref="AV39" ca="1">IF(INDIRECT(ADDRESS(ROW($AO$4)+$AO39-1,COLUMN(W$3)))=INDIRECT(ADDRESS(ROW(),COLUMN(W$3))),"","NG")</f>
        <v>#VALUE!</v>
      </c>
      <c r="AW39" s="325" t="e" cm="1">
        <f t="array" aca="1" ref="AW39" ca="1">IF(INDIRECT(ADDRESS(ROW($AO$4)+$AO39-1,COLUMN(X$3)))=INDIRECT(ADDRESS(ROW(),COLUMN(X$3))),"","NG")</f>
        <v>#VALUE!</v>
      </c>
      <c r="AX39" s="325" t="e" cm="1">
        <f t="array" aca="1" ref="AX39" ca="1">IF(INDIRECT(ADDRESS(ROW($AO$4)+$AO39-1,COLUMN(Y$3)))=INDIRECT(ADDRESS(ROW(),COLUMN(Y$3))),"","NG")</f>
        <v>#VALUE!</v>
      </c>
      <c r="AY39" s="325" t="e" cm="1">
        <f t="array" aca="1" ref="AY39" ca="1">IF(INDIRECT(ADDRESS(ROW($AO$4)+$AO39-1,COLUMN(Z$3)))=INDIRECT(ADDRESS(ROW(),COLUMN(Z$3))),"","NG")</f>
        <v>#VALUE!</v>
      </c>
      <c r="AZ39" s="325" t="e" cm="1">
        <f t="array" aca="1" ref="AZ39" ca="1">IF(INDIRECT(ADDRESS(ROW($AO$4)+$AO39-1,COLUMN(AA$3)))=INDIRECT(ADDRESS(ROW(),COLUMN(AA$3))),"","NG")</f>
        <v>#VALUE!</v>
      </c>
      <c r="BA39" s="325" t="e" cm="1">
        <f t="array" aca="1" ref="BA39" ca="1">IF(INDIRECT(ADDRESS(ROW($AO$4)+$AO39-1,COLUMN(AB$3)))=INDIRECT(ADDRESS(ROW(),COLUMN(AB$3))),"","NG")</f>
        <v>#VALUE!</v>
      </c>
      <c r="BB39" s="325" t="e" cm="1">
        <f t="array" aca="1" ref="BB39" ca="1">IF(INDIRECT(ADDRESS(ROW($AO$4)+$AO39-1,COLUMN(AC$3)))=INDIRECT(ADDRESS(ROW(),COLUMN(AC$3))),"","NG")</f>
        <v>#VALUE!</v>
      </c>
      <c r="BC39" s="325" t="e" cm="1">
        <f t="array" aca="1" ref="BC39" ca="1">IF(INDIRECT(ADDRESS(ROW($AO$4)+$AO39-1,COLUMN(AD$3)))=INDIRECT(ADDRESS(ROW(),COLUMN(AD$3))),"","NG")</f>
        <v>#VALUE!</v>
      </c>
      <c r="BD39" s="325" t="e" cm="1">
        <f t="array" aca="1" ref="BD39" ca="1">IF(INDIRECT(ADDRESS(ROW($AO$4)+$AO39-1,COLUMN(AF$3)))=INDIRECT(ADDRESS(ROW(),COLUMN(AF$3))),"","NG")</f>
        <v>#VALUE!</v>
      </c>
      <c r="BE39" s="325" t="e" cm="1">
        <f t="array" aca="1" ref="BE39" ca="1">IF(INDIRECT(ADDRESS(ROW($AO$4)+$AO39-1,COLUMN(AG$3)))=INDIRECT(ADDRESS(ROW(),COLUMN(AG$3))),"","NG")</f>
        <v>#VALUE!</v>
      </c>
      <c r="BF39" s="325" t="e" cm="1">
        <f t="array" aca="1" ref="BF39" ca="1">IF(INDIRECT(ADDRESS(ROW($AO$4)+$AO39-1,COLUMN(AH$3)))=INDIRECT(ADDRESS(ROW(),COLUMN(AH$3))),"","NG")</f>
        <v>#VALUE!</v>
      </c>
      <c r="BG39" s="325" t="e" cm="1">
        <f t="array" aca="1" ref="BG39" ca="1">IF(INDIRECT(ADDRESS(ROW($AO$4)+$AO39-1,COLUMN(AI$3)))=INDIRECT(ADDRESS(ROW(),COLUMN(AI$3))),"","NG")</f>
        <v>#VALUE!</v>
      </c>
      <c r="BH39" s="325" t="e" cm="1">
        <f t="array" aca="1" ref="BH39" ca="1">IF(INDIRECT(ADDRESS(ROW($AO$4)+$AO39-1,COLUMN(AJ$3)))=INDIRECT(ADDRESS(ROW(),COLUMN(AJ$3))),"","NG")</f>
        <v>#VALUE!</v>
      </c>
    </row>
    <row r="40" spans="8:60" x14ac:dyDescent="0.4">
      <c r="H40" s="305">
        <f t="shared" si="7"/>
        <v>37</v>
      </c>
      <c r="I40" s="80">
        <v>32</v>
      </c>
      <c r="J40" s="80">
        <v>3</v>
      </c>
      <c r="K40" s="277" t="str">
        <f t="shared" si="3"/>
        <v>10月1日(日)</v>
      </c>
      <c r="L40" s="312" t="str">
        <f t="shared" si="8"/>
        <v>(32) 第3課目B馬場馬術競技(公認)</v>
      </c>
      <c r="M40" s="81" t="s">
        <v>1787</v>
      </c>
      <c r="N40" s="280" t="s">
        <v>1779</v>
      </c>
      <c r="O40" s="283">
        <v>14000</v>
      </c>
      <c r="P40" s="283" t="s">
        <v>8</v>
      </c>
      <c r="Q40" s="283" t="s">
        <v>8</v>
      </c>
      <c r="R40" s="283" t="s">
        <v>8</v>
      </c>
      <c r="S40" s="271"/>
      <c r="T40" s="80">
        <f t="shared" si="4"/>
        <v>37</v>
      </c>
      <c r="U40" s="80">
        <f t="shared" si="5"/>
        <v>32</v>
      </c>
      <c r="V40" s="80" t="s">
        <v>1755</v>
      </c>
      <c r="W40" s="80" t="s">
        <v>12</v>
      </c>
      <c r="X40" s="80">
        <v>1</v>
      </c>
      <c r="Y40" s="80">
        <v>1</v>
      </c>
      <c r="Z40" s="80">
        <v>1</v>
      </c>
      <c r="AA40" s="80">
        <v>1</v>
      </c>
      <c r="AB40" s="80">
        <v>1</v>
      </c>
      <c r="AC40" s="80">
        <v>1</v>
      </c>
      <c r="AD40" s="271" t="s">
        <v>253</v>
      </c>
      <c r="AE40" s="271" t="str">
        <f>IF(AD40&lt;&gt;"",VLOOKUP(AD40,リスト!$R$12:$S$18,2,FALSE),"")</f>
        <v>リスト!$J$2:$J$2</v>
      </c>
      <c r="AF40" s="271" t="s">
        <v>416</v>
      </c>
      <c r="AG40" s="308">
        <v>3</v>
      </c>
      <c r="AH40" s="308">
        <v>400</v>
      </c>
      <c r="AI40" s="308">
        <v>30</v>
      </c>
      <c r="AJ40" s="308">
        <v>12</v>
      </c>
      <c r="AK40" s="126"/>
      <c r="AM40" s="327" t="str">
        <f t="shared" si="9"/>
        <v>第3課目B馬場馬術競技公認</v>
      </c>
      <c r="AN40" s="44"/>
      <c r="AO40" s="44">
        <f t="shared" si="10"/>
        <v>37</v>
      </c>
      <c r="AP40" s="325" t="e" cm="1">
        <f t="array" aca="1" ref="AP40" ca="1">IF(INDIRECT(ADDRESS(ROW($AO$4)+$AO40-1,COLUMN(O$3)))=INDIRECT(ADDRESS(ROW(),COLUMN(O$3))),"","NG")</f>
        <v>#VALUE!</v>
      </c>
      <c r="AQ40" s="325" t="e" cm="1">
        <f t="array" aca="1" ref="AQ40" ca="1">IF(INDIRECT(ADDRESS(ROW($AO$4)+$AO40-1,COLUMN(P$3)))=INDIRECT(ADDRESS(ROW(),COLUMN(P$3))),"","NG")</f>
        <v>#VALUE!</v>
      </c>
      <c r="AR40" s="325" t="e" cm="1">
        <f t="array" aca="1" ref="AR40" ca="1">IF(INDIRECT(ADDRESS(ROW($AO$4)+$AO40-1,COLUMN(Q$3)))=INDIRECT(ADDRESS(ROW(),COLUMN(Q$3))),"","NG")</f>
        <v>#VALUE!</v>
      </c>
      <c r="AS40" s="325" t="e" cm="1">
        <f t="array" aca="1" ref="AS40" ca="1">IF(INDIRECT(ADDRESS(ROW($AO$4)+$AO40-1,COLUMN(R$3)))=INDIRECT(ADDRESS(ROW(),COLUMN(R$3))),"","NG")</f>
        <v>#VALUE!</v>
      </c>
      <c r="AT40" s="325" t="e" cm="1">
        <f t="array" aca="1" ref="AT40" ca="1">IF(INDIRECT(ADDRESS(ROW($AO$4)+$AO40-1,COLUMN(S$3)))=INDIRECT(ADDRESS(ROW(),COLUMN(S$3))),"","NG")</f>
        <v>#VALUE!</v>
      </c>
      <c r="AU40" s="325" t="e" cm="1">
        <f t="array" aca="1" ref="AU40" ca="1">IF(INDIRECT(ADDRESS(ROW($AO$4)+$AO40-1,COLUMN(V$3)))=INDIRECT(ADDRESS(ROW(),COLUMN(V$3))),"","NG")</f>
        <v>#VALUE!</v>
      </c>
      <c r="AV40" s="325" t="e" cm="1">
        <f t="array" aca="1" ref="AV40" ca="1">IF(INDIRECT(ADDRESS(ROW($AO$4)+$AO40-1,COLUMN(W$3)))=INDIRECT(ADDRESS(ROW(),COLUMN(W$3))),"","NG")</f>
        <v>#VALUE!</v>
      </c>
      <c r="AW40" s="325" t="e" cm="1">
        <f t="array" aca="1" ref="AW40" ca="1">IF(INDIRECT(ADDRESS(ROW($AO$4)+$AO40-1,COLUMN(X$3)))=INDIRECT(ADDRESS(ROW(),COLUMN(X$3))),"","NG")</f>
        <v>#VALUE!</v>
      </c>
      <c r="AX40" s="325" t="e" cm="1">
        <f t="array" aca="1" ref="AX40" ca="1">IF(INDIRECT(ADDRESS(ROW($AO$4)+$AO40-1,COLUMN(Y$3)))=INDIRECT(ADDRESS(ROW(),COLUMN(Y$3))),"","NG")</f>
        <v>#VALUE!</v>
      </c>
      <c r="AY40" s="325" t="e" cm="1">
        <f t="array" aca="1" ref="AY40" ca="1">IF(INDIRECT(ADDRESS(ROW($AO$4)+$AO40-1,COLUMN(Z$3)))=INDIRECT(ADDRESS(ROW(),COLUMN(Z$3))),"","NG")</f>
        <v>#VALUE!</v>
      </c>
      <c r="AZ40" s="325" t="e" cm="1">
        <f t="array" aca="1" ref="AZ40" ca="1">IF(INDIRECT(ADDRESS(ROW($AO$4)+$AO40-1,COLUMN(AA$3)))=INDIRECT(ADDRESS(ROW(),COLUMN(AA$3))),"","NG")</f>
        <v>#VALUE!</v>
      </c>
      <c r="BA40" s="325" t="e" cm="1">
        <f t="array" aca="1" ref="BA40" ca="1">IF(INDIRECT(ADDRESS(ROW($AO$4)+$AO40-1,COLUMN(AB$3)))=INDIRECT(ADDRESS(ROW(),COLUMN(AB$3))),"","NG")</f>
        <v>#VALUE!</v>
      </c>
      <c r="BB40" s="325" t="e" cm="1">
        <f t="array" aca="1" ref="BB40" ca="1">IF(INDIRECT(ADDRESS(ROW($AO$4)+$AO40-1,COLUMN(AC$3)))=INDIRECT(ADDRESS(ROW(),COLUMN(AC$3))),"","NG")</f>
        <v>#VALUE!</v>
      </c>
      <c r="BC40" s="325" t="e" cm="1">
        <f t="array" aca="1" ref="BC40" ca="1">IF(INDIRECT(ADDRESS(ROW($AO$4)+$AO40-1,COLUMN(AD$3)))=INDIRECT(ADDRESS(ROW(),COLUMN(AD$3))),"","NG")</f>
        <v>#VALUE!</v>
      </c>
      <c r="BD40" s="325" t="e" cm="1">
        <f t="array" aca="1" ref="BD40" ca="1">IF(INDIRECT(ADDRESS(ROW($AO$4)+$AO40-1,COLUMN(AF$3)))=INDIRECT(ADDRESS(ROW(),COLUMN(AF$3))),"","NG")</f>
        <v>#VALUE!</v>
      </c>
      <c r="BE40" s="325" t="e" cm="1">
        <f t="array" aca="1" ref="BE40" ca="1">IF(INDIRECT(ADDRESS(ROW($AO$4)+$AO40-1,COLUMN(AG$3)))=INDIRECT(ADDRESS(ROW(),COLUMN(AG$3))),"","NG")</f>
        <v>#VALUE!</v>
      </c>
      <c r="BF40" s="325" t="e" cm="1">
        <f t="array" aca="1" ref="BF40" ca="1">IF(INDIRECT(ADDRESS(ROW($AO$4)+$AO40-1,COLUMN(AH$3)))=INDIRECT(ADDRESS(ROW(),COLUMN(AH$3))),"","NG")</f>
        <v>#VALUE!</v>
      </c>
      <c r="BG40" s="325" t="e" cm="1">
        <f t="array" aca="1" ref="BG40" ca="1">IF(INDIRECT(ADDRESS(ROW($AO$4)+$AO40-1,COLUMN(AI$3)))=INDIRECT(ADDRESS(ROW(),COLUMN(AI$3))),"","NG")</f>
        <v>#VALUE!</v>
      </c>
      <c r="BH40" s="325" t="e" cm="1">
        <f t="array" aca="1" ref="BH40" ca="1">IF(INDIRECT(ADDRESS(ROW($AO$4)+$AO40-1,COLUMN(AJ$3)))=INDIRECT(ADDRESS(ROW(),COLUMN(AJ$3))),"","NG")</f>
        <v>#VALUE!</v>
      </c>
    </row>
    <row r="41" spans="8:60" x14ac:dyDescent="0.4">
      <c r="H41" s="305">
        <f t="shared" si="7"/>
        <v>38</v>
      </c>
      <c r="I41" s="80">
        <v>33</v>
      </c>
      <c r="J41" s="80">
        <v>3</v>
      </c>
      <c r="K41" s="277" t="str">
        <f t="shared" si="3"/>
        <v>10月1日(日)</v>
      </c>
      <c r="L41" s="312" t="str">
        <f t="shared" si="8"/>
        <v>(33) 第4課目B馬場馬術競技(公認)</v>
      </c>
      <c r="M41" s="81" t="s">
        <v>1788</v>
      </c>
      <c r="N41" s="280" t="s">
        <v>1779</v>
      </c>
      <c r="O41" s="283">
        <v>14000</v>
      </c>
      <c r="P41" s="283" t="s">
        <v>8</v>
      </c>
      <c r="Q41" s="283" t="s">
        <v>8</v>
      </c>
      <c r="R41" s="283" t="s">
        <v>8</v>
      </c>
      <c r="S41" s="271"/>
      <c r="T41" s="80">
        <f t="shared" si="4"/>
        <v>38</v>
      </c>
      <c r="U41" s="80">
        <f t="shared" si="5"/>
        <v>33</v>
      </c>
      <c r="V41" s="80" t="s">
        <v>1755</v>
      </c>
      <c r="W41" s="80" t="s">
        <v>12</v>
      </c>
      <c r="X41" s="80">
        <v>1</v>
      </c>
      <c r="Y41" s="80">
        <v>1</v>
      </c>
      <c r="Z41" s="80">
        <v>1</v>
      </c>
      <c r="AA41" s="80">
        <v>1</v>
      </c>
      <c r="AB41" s="80">
        <v>1</v>
      </c>
      <c r="AC41" s="80">
        <v>1</v>
      </c>
      <c r="AD41" s="271" t="s">
        <v>253</v>
      </c>
      <c r="AE41" s="271" t="str">
        <f>IF(AD41&lt;&gt;"",VLOOKUP(AD41,リスト!$R$12:$S$18,2,FALSE),"")</f>
        <v>リスト!$J$2:$J$2</v>
      </c>
      <c r="AF41" s="271" t="s">
        <v>416</v>
      </c>
      <c r="AG41" s="308">
        <v>3</v>
      </c>
      <c r="AH41" s="308">
        <v>400</v>
      </c>
      <c r="AI41" s="308">
        <v>30</v>
      </c>
      <c r="AJ41" s="308">
        <v>12</v>
      </c>
      <c r="AK41" s="126"/>
      <c r="AM41" s="327" t="str">
        <f t="shared" si="9"/>
        <v>第4課目B馬場馬術競技公認</v>
      </c>
      <c r="AN41" s="44"/>
      <c r="AO41" s="44">
        <f t="shared" si="10"/>
        <v>38</v>
      </c>
      <c r="AP41" s="325" t="e" cm="1">
        <f t="array" aca="1" ref="AP41" ca="1">IF(INDIRECT(ADDRESS(ROW($AO$4)+$AO41-1,COLUMN(O$3)))=INDIRECT(ADDRESS(ROW(),COLUMN(O$3))),"","NG")</f>
        <v>#VALUE!</v>
      </c>
      <c r="AQ41" s="325" t="e" cm="1">
        <f t="array" aca="1" ref="AQ41" ca="1">IF(INDIRECT(ADDRESS(ROW($AO$4)+$AO41-1,COLUMN(P$3)))=INDIRECT(ADDRESS(ROW(),COLUMN(P$3))),"","NG")</f>
        <v>#VALUE!</v>
      </c>
      <c r="AR41" s="325" t="e" cm="1">
        <f t="array" aca="1" ref="AR41" ca="1">IF(INDIRECT(ADDRESS(ROW($AO$4)+$AO41-1,COLUMN(Q$3)))=INDIRECT(ADDRESS(ROW(),COLUMN(Q$3))),"","NG")</f>
        <v>#VALUE!</v>
      </c>
      <c r="AS41" s="325" t="e" cm="1">
        <f t="array" aca="1" ref="AS41" ca="1">IF(INDIRECT(ADDRESS(ROW($AO$4)+$AO41-1,COLUMN(R$3)))=INDIRECT(ADDRESS(ROW(),COLUMN(R$3))),"","NG")</f>
        <v>#VALUE!</v>
      </c>
      <c r="AT41" s="325" t="e" cm="1">
        <f t="array" aca="1" ref="AT41" ca="1">IF(INDIRECT(ADDRESS(ROW($AO$4)+$AO41-1,COLUMN(S$3)))=INDIRECT(ADDRESS(ROW(),COLUMN(S$3))),"","NG")</f>
        <v>#VALUE!</v>
      </c>
      <c r="AU41" s="325" t="e" cm="1">
        <f t="array" aca="1" ref="AU41" ca="1">IF(INDIRECT(ADDRESS(ROW($AO$4)+$AO41-1,COLUMN(V$3)))=INDIRECT(ADDRESS(ROW(),COLUMN(V$3))),"","NG")</f>
        <v>#VALUE!</v>
      </c>
      <c r="AV41" s="325" t="e" cm="1">
        <f t="array" aca="1" ref="AV41" ca="1">IF(INDIRECT(ADDRESS(ROW($AO$4)+$AO41-1,COLUMN(W$3)))=INDIRECT(ADDRESS(ROW(),COLUMN(W$3))),"","NG")</f>
        <v>#VALUE!</v>
      </c>
      <c r="AW41" s="325" t="e" cm="1">
        <f t="array" aca="1" ref="AW41" ca="1">IF(INDIRECT(ADDRESS(ROW($AO$4)+$AO41-1,COLUMN(X$3)))=INDIRECT(ADDRESS(ROW(),COLUMN(X$3))),"","NG")</f>
        <v>#VALUE!</v>
      </c>
      <c r="AX41" s="325" t="e" cm="1">
        <f t="array" aca="1" ref="AX41" ca="1">IF(INDIRECT(ADDRESS(ROW($AO$4)+$AO41-1,COLUMN(Y$3)))=INDIRECT(ADDRESS(ROW(),COLUMN(Y$3))),"","NG")</f>
        <v>#VALUE!</v>
      </c>
      <c r="AY41" s="325" t="e" cm="1">
        <f t="array" aca="1" ref="AY41" ca="1">IF(INDIRECT(ADDRESS(ROW($AO$4)+$AO41-1,COLUMN(Z$3)))=INDIRECT(ADDRESS(ROW(),COLUMN(Z$3))),"","NG")</f>
        <v>#VALUE!</v>
      </c>
      <c r="AZ41" s="325" t="e" cm="1">
        <f t="array" aca="1" ref="AZ41" ca="1">IF(INDIRECT(ADDRESS(ROW($AO$4)+$AO41-1,COLUMN(AA$3)))=INDIRECT(ADDRESS(ROW(),COLUMN(AA$3))),"","NG")</f>
        <v>#VALUE!</v>
      </c>
      <c r="BA41" s="325" t="e" cm="1">
        <f t="array" aca="1" ref="BA41" ca="1">IF(INDIRECT(ADDRESS(ROW($AO$4)+$AO41-1,COLUMN(AB$3)))=INDIRECT(ADDRESS(ROW(),COLUMN(AB$3))),"","NG")</f>
        <v>#VALUE!</v>
      </c>
      <c r="BB41" s="325" t="e" cm="1">
        <f t="array" aca="1" ref="BB41" ca="1">IF(INDIRECT(ADDRESS(ROW($AO$4)+$AO41-1,COLUMN(AC$3)))=INDIRECT(ADDRESS(ROW(),COLUMN(AC$3))),"","NG")</f>
        <v>#VALUE!</v>
      </c>
      <c r="BC41" s="325" t="e" cm="1">
        <f t="array" aca="1" ref="BC41" ca="1">IF(INDIRECT(ADDRESS(ROW($AO$4)+$AO41-1,COLUMN(AD$3)))=INDIRECT(ADDRESS(ROW(),COLUMN(AD$3))),"","NG")</f>
        <v>#VALUE!</v>
      </c>
      <c r="BD41" s="325" t="e" cm="1">
        <f t="array" aca="1" ref="BD41" ca="1">IF(INDIRECT(ADDRESS(ROW($AO$4)+$AO41-1,COLUMN(AF$3)))=INDIRECT(ADDRESS(ROW(),COLUMN(AF$3))),"","NG")</f>
        <v>#VALUE!</v>
      </c>
      <c r="BE41" s="325" t="e" cm="1">
        <f t="array" aca="1" ref="BE41" ca="1">IF(INDIRECT(ADDRESS(ROW($AO$4)+$AO41-1,COLUMN(AG$3)))=INDIRECT(ADDRESS(ROW(),COLUMN(AG$3))),"","NG")</f>
        <v>#VALUE!</v>
      </c>
      <c r="BF41" s="325" t="e" cm="1">
        <f t="array" aca="1" ref="BF41" ca="1">IF(INDIRECT(ADDRESS(ROW($AO$4)+$AO41-1,COLUMN(AH$3)))=INDIRECT(ADDRESS(ROW(),COLUMN(AH$3))),"","NG")</f>
        <v>#VALUE!</v>
      </c>
      <c r="BG41" s="325" t="e" cm="1">
        <f t="array" aca="1" ref="BG41" ca="1">IF(INDIRECT(ADDRESS(ROW($AO$4)+$AO41-1,COLUMN(AI$3)))=INDIRECT(ADDRESS(ROW(),COLUMN(AI$3))),"","NG")</f>
        <v>#VALUE!</v>
      </c>
      <c r="BH41" s="325" t="e" cm="1">
        <f t="array" aca="1" ref="BH41" ca="1">IF(INDIRECT(ADDRESS(ROW($AO$4)+$AO41-1,COLUMN(AJ$3)))=INDIRECT(ADDRESS(ROW(),COLUMN(AJ$3))),"","NG")</f>
        <v>#VALUE!</v>
      </c>
    </row>
    <row r="42" spans="8:60" x14ac:dyDescent="0.4">
      <c r="H42" s="305">
        <f t="shared" si="7"/>
        <v>39</v>
      </c>
      <c r="I42" s="80">
        <v>34</v>
      </c>
      <c r="J42" s="80">
        <v>3</v>
      </c>
      <c r="K42" s="277" t="str">
        <f t="shared" si="3"/>
        <v>10月1日(日)</v>
      </c>
      <c r="L42" s="312" t="str">
        <f t="shared" si="8"/>
        <v>(34) 第5課目A馬場馬術競技(公認)</v>
      </c>
      <c r="M42" s="81" t="s">
        <v>1785</v>
      </c>
      <c r="N42" s="280" t="s">
        <v>1779</v>
      </c>
      <c r="O42" s="283">
        <v>14000</v>
      </c>
      <c r="P42" s="283" t="s">
        <v>8</v>
      </c>
      <c r="Q42" s="283" t="s">
        <v>8</v>
      </c>
      <c r="R42" s="283" t="s">
        <v>8</v>
      </c>
      <c r="S42" s="271"/>
      <c r="T42" s="80">
        <f t="shared" si="4"/>
        <v>39</v>
      </c>
      <c r="U42" s="80">
        <f t="shared" si="5"/>
        <v>34</v>
      </c>
      <c r="V42" s="80" t="s">
        <v>1755</v>
      </c>
      <c r="W42" s="80" t="s">
        <v>11</v>
      </c>
      <c r="X42" s="80">
        <v>1</v>
      </c>
      <c r="Y42" s="80">
        <v>1</v>
      </c>
      <c r="Z42" s="80">
        <v>1</v>
      </c>
      <c r="AA42" s="80">
        <v>1</v>
      </c>
      <c r="AB42" s="80">
        <v>1</v>
      </c>
      <c r="AC42" s="80">
        <v>1</v>
      </c>
      <c r="AD42" s="271" t="s">
        <v>253</v>
      </c>
      <c r="AE42" s="271" t="str">
        <f>IF(AD42&lt;&gt;"",VLOOKUP(AD42,リスト!$R$12:$S$18,2,FALSE),"")</f>
        <v>リスト!$J$2:$J$2</v>
      </c>
      <c r="AF42" s="271" t="s">
        <v>416</v>
      </c>
      <c r="AG42" s="308">
        <v>3</v>
      </c>
      <c r="AH42" s="308">
        <v>400</v>
      </c>
      <c r="AI42" s="308">
        <v>30</v>
      </c>
      <c r="AJ42" s="308">
        <v>12</v>
      </c>
      <c r="AK42" s="126"/>
      <c r="AM42" s="327" t="str">
        <f t="shared" si="9"/>
        <v>第5課目A馬場馬術競技公認</v>
      </c>
      <c r="AN42" s="44"/>
      <c r="AO42" s="44">
        <f t="shared" si="10"/>
        <v>18</v>
      </c>
      <c r="AP42" s="325" t="e" cm="1">
        <f t="array" aca="1" ref="AP42" ca="1">IF(INDIRECT(ADDRESS(ROW($AO$4)+$AO42-1,COLUMN(O$3)))=INDIRECT(ADDRESS(ROW(),COLUMN(O$3))),"","NG")</f>
        <v>#VALUE!</v>
      </c>
      <c r="AQ42" s="325" t="e" cm="1">
        <f t="array" aca="1" ref="AQ42" ca="1">IF(INDIRECT(ADDRESS(ROW($AO$4)+$AO42-1,COLUMN(P$3)))=INDIRECT(ADDRESS(ROW(),COLUMN(P$3))),"","NG")</f>
        <v>#VALUE!</v>
      </c>
      <c r="AR42" s="325" t="e" cm="1">
        <f t="array" aca="1" ref="AR42" ca="1">IF(INDIRECT(ADDRESS(ROW($AO$4)+$AO42-1,COLUMN(Q$3)))=INDIRECT(ADDRESS(ROW(),COLUMN(Q$3))),"","NG")</f>
        <v>#VALUE!</v>
      </c>
      <c r="AS42" s="325" t="e" cm="1">
        <f t="array" aca="1" ref="AS42" ca="1">IF(INDIRECT(ADDRESS(ROW($AO$4)+$AO42-1,COLUMN(R$3)))=INDIRECT(ADDRESS(ROW(),COLUMN(R$3))),"","NG")</f>
        <v>#VALUE!</v>
      </c>
      <c r="AT42" s="325" t="e" cm="1">
        <f t="array" aca="1" ref="AT42" ca="1">IF(INDIRECT(ADDRESS(ROW($AO$4)+$AO42-1,COLUMN(S$3)))=INDIRECT(ADDRESS(ROW(),COLUMN(S$3))),"","NG")</f>
        <v>#VALUE!</v>
      </c>
      <c r="AU42" s="325" t="e" cm="1">
        <f t="array" aca="1" ref="AU42" ca="1">IF(INDIRECT(ADDRESS(ROW($AO$4)+$AO42-1,COLUMN(V$3)))=INDIRECT(ADDRESS(ROW(),COLUMN(V$3))),"","NG")</f>
        <v>#VALUE!</v>
      </c>
      <c r="AV42" s="325" t="e" cm="1">
        <f t="array" aca="1" ref="AV42" ca="1">IF(INDIRECT(ADDRESS(ROW($AO$4)+$AO42-1,COLUMN(W$3)))=INDIRECT(ADDRESS(ROW(),COLUMN(W$3))),"","NG")</f>
        <v>#VALUE!</v>
      </c>
      <c r="AW42" s="325" t="e" cm="1">
        <f t="array" aca="1" ref="AW42" ca="1">IF(INDIRECT(ADDRESS(ROW($AO$4)+$AO42-1,COLUMN(X$3)))=INDIRECT(ADDRESS(ROW(),COLUMN(X$3))),"","NG")</f>
        <v>#VALUE!</v>
      </c>
      <c r="AX42" s="325" t="e" cm="1">
        <f t="array" aca="1" ref="AX42" ca="1">IF(INDIRECT(ADDRESS(ROW($AO$4)+$AO42-1,COLUMN(Y$3)))=INDIRECT(ADDRESS(ROW(),COLUMN(Y$3))),"","NG")</f>
        <v>#VALUE!</v>
      </c>
      <c r="AY42" s="325" t="e" cm="1">
        <f t="array" aca="1" ref="AY42" ca="1">IF(INDIRECT(ADDRESS(ROW($AO$4)+$AO42-1,COLUMN(Z$3)))=INDIRECT(ADDRESS(ROW(),COLUMN(Z$3))),"","NG")</f>
        <v>#VALUE!</v>
      </c>
      <c r="AZ42" s="325" t="e" cm="1">
        <f t="array" aca="1" ref="AZ42" ca="1">IF(INDIRECT(ADDRESS(ROW($AO$4)+$AO42-1,COLUMN(AA$3)))=INDIRECT(ADDRESS(ROW(),COLUMN(AA$3))),"","NG")</f>
        <v>#VALUE!</v>
      </c>
      <c r="BA42" s="325" t="e" cm="1">
        <f t="array" aca="1" ref="BA42" ca="1">IF(INDIRECT(ADDRESS(ROW($AO$4)+$AO42-1,COLUMN(AB$3)))=INDIRECT(ADDRESS(ROW(),COLUMN(AB$3))),"","NG")</f>
        <v>#VALUE!</v>
      </c>
      <c r="BB42" s="325" t="e" cm="1">
        <f t="array" aca="1" ref="BB42" ca="1">IF(INDIRECT(ADDRESS(ROW($AO$4)+$AO42-1,COLUMN(AC$3)))=INDIRECT(ADDRESS(ROW(),COLUMN(AC$3))),"","NG")</f>
        <v>#VALUE!</v>
      </c>
      <c r="BC42" s="325" t="e" cm="1">
        <f t="array" aca="1" ref="BC42" ca="1">IF(INDIRECT(ADDRESS(ROW($AO$4)+$AO42-1,COLUMN(AD$3)))=INDIRECT(ADDRESS(ROW(),COLUMN(AD$3))),"","NG")</f>
        <v>#VALUE!</v>
      </c>
      <c r="BD42" s="325" t="e" cm="1">
        <f t="array" aca="1" ref="BD42" ca="1">IF(INDIRECT(ADDRESS(ROW($AO$4)+$AO42-1,COLUMN(AF$3)))=INDIRECT(ADDRESS(ROW(),COLUMN(AF$3))),"","NG")</f>
        <v>#VALUE!</v>
      </c>
      <c r="BE42" s="325" t="e" cm="1">
        <f t="array" aca="1" ref="BE42" ca="1">IF(INDIRECT(ADDRESS(ROW($AO$4)+$AO42-1,COLUMN(AG$3)))=INDIRECT(ADDRESS(ROW(),COLUMN(AG$3))),"","NG")</f>
        <v>#VALUE!</v>
      </c>
      <c r="BF42" s="325" t="e" cm="1">
        <f t="array" aca="1" ref="BF42" ca="1">IF(INDIRECT(ADDRESS(ROW($AO$4)+$AO42-1,COLUMN(AH$3)))=INDIRECT(ADDRESS(ROW(),COLUMN(AH$3))),"","NG")</f>
        <v>#VALUE!</v>
      </c>
      <c r="BG42" s="325" t="e" cm="1">
        <f t="array" aca="1" ref="BG42" ca="1">IF(INDIRECT(ADDRESS(ROW($AO$4)+$AO42-1,COLUMN(AI$3)))=INDIRECT(ADDRESS(ROW(),COLUMN(AI$3))),"","NG")</f>
        <v>#VALUE!</v>
      </c>
      <c r="BH42" s="325" t="e" cm="1">
        <f t="array" aca="1" ref="BH42" ca="1">IF(INDIRECT(ADDRESS(ROW($AO$4)+$AO42-1,COLUMN(AJ$3)))=INDIRECT(ADDRESS(ROW(),COLUMN(AJ$3))),"","NG")</f>
        <v>#VALUE!</v>
      </c>
    </row>
    <row r="43" spans="8:60" x14ac:dyDescent="0.4">
      <c r="H43" s="305">
        <f t="shared" si="7"/>
        <v>40</v>
      </c>
      <c r="I43" s="80">
        <v>35</v>
      </c>
      <c r="J43" s="80">
        <v>3</v>
      </c>
      <c r="K43" s="277" t="str">
        <f t="shared" si="3"/>
        <v>10月1日(日)</v>
      </c>
      <c r="L43" s="312" t="str">
        <f t="shared" si="8"/>
        <v>(35) 第3課目A馬場馬術競技</v>
      </c>
      <c r="M43" s="81" t="s">
        <v>1781</v>
      </c>
      <c r="N43" s="280" t="s">
        <v>162</v>
      </c>
      <c r="O43" s="283">
        <v>12000</v>
      </c>
      <c r="P43" s="283">
        <v>10000</v>
      </c>
      <c r="Q43" s="283">
        <v>10000</v>
      </c>
      <c r="R43" s="283">
        <v>10000</v>
      </c>
      <c r="S43" s="271"/>
      <c r="T43" s="80">
        <f t="shared" si="4"/>
        <v>40</v>
      </c>
      <c r="U43" s="80">
        <f t="shared" si="5"/>
        <v>35</v>
      </c>
      <c r="V43" s="80" t="s">
        <v>12</v>
      </c>
      <c r="W43" s="80" t="s">
        <v>11</v>
      </c>
      <c r="X43" s="80">
        <v>1</v>
      </c>
      <c r="Y43" s="80">
        <v>1</v>
      </c>
      <c r="Z43" s="80">
        <v>1</v>
      </c>
      <c r="AA43" s="80">
        <v>1</v>
      </c>
      <c r="AB43" s="80">
        <v>1</v>
      </c>
      <c r="AC43" s="80">
        <v>1</v>
      </c>
      <c r="AD43" s="271" t="s">
        <v>251</v>
      </c>
      <c r="AE43" s="271" t="str">
        <f>IF(AD43&lt;&gt;"",VLOOKUP(AD43,リスト!$R$12:$S$18,2,FALSE),"")</f>
        <v>リスト!$J$2:$J$5</v>
      </c>
      <c r="AF43" s="271" t="s">
        <v>416</v>
      </c>
      <c r="AG43" s="308">
        <v>3</v>
      </c>
      <c r="AH43" s="308">
        <v>400</v>
      </c>
      <c r="AI43" s="308">
        <v>30</v>
      </c>
      <c r="AJ43" s="308">
        <v>12</v>
      </c>
      <c r="AK43" s="126"/>
      <c r="AM43" s="327" t="str">
        <f t="shared" si="9"/>
        <v>第3課目A馬場馬術競技-</v>
      </c>
      <c r="AN43" s="44"/>
      <c r="AO43" s="44">
        <f t="shared" si="10"/>
        <v>20</v>
      </c>
      <c r="AP43" s="325" t="e" cm="1">
        <f t="array" aca="1" ref="AP43" ca="1">IF(INDIRECT(ADDRESS(ROW($AO$4)+$AO43-1,COLUMN(O$3)))=INDIRECT(ADDRESS(ROW(),COLUMN(O$3))),"","NG")</f>
        <v>#VALUE!</v>
      </c>
      <c r="AQ43" s="325" t="e" cm="1">
        <f t="array" aca="1" ref="AQ43" ca="1">IF(INDIRECT(ADDRESS(ROW($AO$4)+$AO43-1,COLUMN(P$3)))=INDIRECT(ADDRESS(ROW(),COLUMN(P$3))),"","NG")</f>
        <v>#VALUE!</v>
      </c>
      <c r="AR43" s="325" t="e" cm="1">
        <f t="array" aca="1" ref="AR43" ca="1">IF(INDIRECT(ADDRESS(ROW($AO$4)+$AO43-1,COLUMN(Q$3)))=INDIRECT(ADDRESS(ROW(),COLUMN(Q$3))),"","NG")</f>
        <v>#VALUE!</v>
      </c>
      <c r="AS43" s="325" t="e" cm="1">
        <f t="array" aca="1" ref="AS43" ca="1">IF(INDIRECT(ADDRESS(ROW($AO$4)+$AO43-1,COLUMN(R$3)))=INDIRECT(ADDRESS(ROW(),COLUMN(R$3))),"","NG")</f>
        <v>#VALUE!</v>
      </c>
      <c r="AT43" s="325" t="e" cm="1">
        <f t="array" aca="1" ref="AT43" ca="1">IF(INDIRECT(ADDRESS(ROW($AO$4)+$AO43-1,COLUMN(S$3)))=INDIRECT(ADDRESS(ROW(),COLUMN(S$3))),"","NG")</f>
        <v>#VALUE!</v>
      </c>
      <c r="AU43" s="325" t="e" cm="1">
        <f t="array" aca="1" ref="AU43" ca="1">IF(INDIRECT(ADDRESS(ROW($AO$4)+$AO43-1,COLUMN(V$3)))=INDIRECT(ADDRESS(ROW(),COLUMN(V$3))),"","NG")</f>
        <v>#VALUE!</v>
      </c>
      <c r="AV43" s="325" t="e" cm="1">
        <f t="array" aca="1" ref="AV43" ca="1">IF(INDIRECT(ADDRESS(ROW($AO$4)+$AO43-1,COLUMN(W$3)))=INDIRECT(ADDRESS(ROW(),COLUMN(W$3))),"","NG")</f>
        <v>#VALUE!</v>
      </c>
      <c r="AW43" s="325" t="e" cm="1">
        <f t="array" aca="1" ref="AW43" ca="1">IF(INDIRECT(ADDRESS(ROW($AO$4)+$AO43-1,COLUMN(X$3)))=INDIRECT(ADDRESS(ROW(),COLUMN(X$3))),"","NG")</f>
        <v>#VALUE!</v>
      </c>
      <c r="AX43" s="325" t="e" cm="1">
        <f t="array" aca="1" ref="AX43" ca="1">IF(INDIRECT(ADDRESS(ROW($AO$4)+$AO43-1,COLUMN(Y$3)))=INDIRECT(ADDRESS(ROW(),COLUMN(Y$3))),"","NG")</f>
        <v>#VALUE!</v>
      </c>
      <c r="AY43" s="325" t="e" cm="1">
        <f t="array" aca="1" ref="AY43" ca="1">IF(INDIRECT(ADDRESS(ROW($AO$4)+$AO43-1,COLUMN(Z$3)))=INDIRECT(ADDRESS(ROW(),COLUMN(Z$3))),"","NG")</f>
        <v>#VALUE!</v>
      </c>
      <c r="AZ43" s="325" t="e" cm="1">
        <f t="array" aca="1" ref="AZ43" ca="1">IF(INDIRECT(ADDRESS(ROW($AO$4)+$AO43-1,COLUMN(AA$3)))=INDIRECT(ADDRESS(ROW(),COLUMN(AA$3))),"","NG")</f>
        <v>#VALUE!</v>
      </c>
      <c r="BA43" s="325" t="e" cm="1">
        <f t="array" aca="1" ref="BA43" ca="1">IF(INDIRECT(ADDRESS(ROW($AO$4)+$AO43-1,COLUMN(AB$3)))=INDIRECT(ADDRESS(ROW(),COLUMN(AB$3))),"","NG")</f>
        <v>#VALUE!</v>
      </c>
      <c r="BB43" s="325" t="e" cm="1">
        <f t="array" aca="1" ref="BB43" ca="1">IF(INDIRECT(ADDRESS(ROW($AO$4)+$AO43-1,COLUMN(AC$3)))=INDIRECT(ADDRESS(ROW(),COLUMN(AC$3))),"","NG")</f>
        <v>#VALUE!</v>
      </c>
      <c r="BC43" s="325" t="e" cm="1">
        <f t="array" aca="1" ref="BC43" ca="1">IF(INDIRECT(ADDRESS(ROW($AO$4)+$AO43-1,COLUMN(AD$3)))=INDIRECT(ADDRESS(ROW(),COLUMN(AD$3))),"","NG")</f>
        <v>#VALUE!</v>
      </c>
      <c r="BD43" s="325" t="e" cm="1">
        <f t="array" aca="1" ref="BD43" ca="1">IF(INDIRECT(ADDRESS(ROW($AO$4)+$AO43-1,COLUMN(AF$3)))=INDIRECT(ADDRESS(ROW(),COLUMN(AF$3))),"","NG")</f>
        <v>#VALUE!</v>
      </c>
      <c r="BE43" s="325" t="e" cm="1">
        <f t="array" aca="1" ref="BE43" ca="1">IF(INDIRECT(ADDRESS(ROW($AO$4)+$AO43-1,COLUMN(AG$3)))=INDIRECT(ADDRESS(ROW(),COLUMN(AG$3))),"","NG")</f>
        <v>#VALUE!</v>
      </c>
      <c r="BF43" s="325" t="e" cm="1">
        <f t="array" aca="1" ref="BF43" ca="1">IF(INDIRECT(ADDRESS(ROW($AO$4)+$AO43-1,COLUMN(AH$3)))=INDIRECT(ADDRESS(ROW(),COLUMN(AH$3))),"","NG")</f>
        <v>#VALUE!</v>
      </c>
      <c r="BG43" s="325" t="e" cm="1">
        <f t="array" aca="1" ref="BG43" ca="1">IF(INDIRECT(ADDRESS(ROW($AO$4)+$AO43-1,COLUMN(AI$3)))=INDIRECT(ADDRESS(ROW(),COLUMN(AI$3))),"","NG")</f>
        <v>#VALUE!</v>
      </c>
      <c r="BH43" s="325" t="e" cm="1">
        <f t="array" aca="1" ref="BH43" ca="1">IF(INDIRECT(ADDRESS(ROW($AO$4)+$AO43-1,COLUMN(AJ$3)))=INDIRECT(ADDRESS(ROW(),COLUMN(AJ$3))),"","NG")</f>
        <v>#VALUE!</v>
      </c>
    </row>
    <row r="44" spans="8:60" x14ac:dyDescent="0.4">
      <c r="H44" s="305">
        <f t="shared" si="7"/>
        <v>41</v>
      </c>
      <c r="I44" s="80">
        <v>36</v>
      </c>
      <c r="J44" s="80">
        <v>3</v>
      </c>
      <c r="K44" s="277" t="str">
        <f t="shared" si="3"/>
        <v>10月1日(日)</v>
      </c>
      <c r="L44" s="312" t="str">
        <f t="shared" si="8"/>
        <v>(36) 部班馬場馬術競技 (速歩)(一般)</v>
      </c>
      <c r="M44" s="81" t="s">
        <v>13</v>
      </c>
      <c r="N44" s="280" t="s">
        <v>1775</v>
      </c>
      <c r="O44" s="283">
        <v>7000</v>
      </c>
      <c r="P44" s="283">
        <v>6000</v>
      </c>
      <c r="Q44" s="283">
        <v>6000</v>
      </c>
      <c r="R44" s="283" t="s">
        <v>8</v>
      </c>
      <c r="S44" s="271"/>
      <c r="T44" s="80">
        <f t="shared" si="4"/>
        <v>41</v>
      </c>
      <c r="U44" s="80">
        <f t="shared" si="5"/>
        <v>36</v>
      </c>
      <c r="V44" s="80" t="s">
        <v>12</v>
      </c>
      <c r="W44" s="80" t="s">
        <v>392</v>
      </c>
      <c r="X44" s="80">
        <v>1</v>
      </c>
      <c r="Y44" s="80">
        <v>1</v>
      </c>
      <c r="Z44" s="80">
        <v>1</v>
      </c>
      <c r="AA44" s="80">
        <v>1</v>
      </c>
      <c r="AB44" s="80">
        <v>1</v>
      </c>
      <c r="AC44" s="80">
        <v>1</v>
      </c>
      <c r="AD44" s="271" t="s">
        <v>384</v>
      </c>
      <c r="AE44" s="271" t="str">
        <f>IF(AD44&lt;&gt;"",VLOOKUP(AD44,リスト!$R$12:$S$18,2,FALSE),"")</f>
        <v>リスト!$J$2:$J$4</v>
      </c>
      <c r="AF44" s="271" t="s">
        <v>416</v>
      </c>
      <c r="AG44" s="308" t="s">
        <v>435</v>
      </c>
      <c r="AH44" s="308">
        <v>600</v>
      </c>
      <c r="AI44" s="308">
        <v>120</v>
      </c>
      <c r="AJ44" s="308">
        <v>12</v>
      </c>
      <c r="AK44" s="126"/>
      <c r="AM44" s="327" t="str">
        <f t="shared" si="9"/>
        <v>部班馬場馬術競技 (速歩)一般</v>
      </c>
      <c r="AN44" s="44"/>
      <c r="AO44" s="44">
        <f t="shared" si="10"/>
        <v>41</v>
      </c>
      <c r="AP44" s="325" t="e" cm="1">
        <f t="array" aca="1" ref="AP44" ca="1">IF(INDIRECT(ADDRESS(ROW($AO$4)+$AO44-1,COLUMN(O$3)))=INDIRECT(ADDRESS(ROW(),COLUMN(O$3))),"","NG")</f>
        <v>#VALUE!</v>
      </c>
      <c r="AQ44" s="325" t="e" cm="1">
        <f t="array" aca="1" ref="AQ44" ca="1">IF(INDIRECT(ADDRESS(ROW($AO$4)+$AO44-1,COLUMN(P$3)))=INDIRECT(ADDRESS(ROW(),COLUMN(P$3))),"","NG")</f>
        <v>#VALUE!</v>
      </c>
      <c r="AR44" s="325" t="e" cm="1">
        <f t="array" aca="1" ref="AR44" ca="1">IF(INDIRECT(ADDRESS(ROW($AO$4)+$AO44-1,COLUMN(Q$3)))=INDIRECT(ADDRESS(ROW(),COLUMN(Q$3))),"","NG")</f>
        <v>#VALUE!</v>
      </c>
      <c r="AS44" s="325" t="e" cm="1">
        <f t="array" aca="1" ref="AS44" ca="1">IF(INDIRECT(ADDRESS(ROW($AO$4)+$AO44-1,COLUMN(R$3)))=INDIRECT(ADDRESS(ROW(),COLUMN(R$3))),"","NG")</f>
        <v>#VALUE!</v>
      </c>
      <c r="AT44" s="325" t="e" cm="1">
        <f t="array" aca="1" ref="AT44" ca="1">IF(INDIRECT(ADDRESS(ROW($AO$4)+$AO44-1,COLUMN(S$3)))=INDIRECT(ADDRESS(ROW(),COLUMN(S$3))),"","NG")</f>
        <v>#VALUE!</v>
      </c>
      <c r="AU44" s="325" t="e" cm="1">
        <f t="array" aca="1" ref="AU44" ca="1">IF(INDIRECT(ADDRESS(ROW($AO$4)+$AO44-1,COLUMN(V$3)))=INDIRECT(ADDRESS(ROW(),COLUMN(V$3))),"","NG")</f>
        <v>#VALUE!</v>
      </c>
      <c r="AV44" s="325" t="e" cm="1">
        <f t="array" aca="1" ref="AV44" ca="1">IF(INDIRECT(ADDRESS(ROW($AO$4)+$AO44-1,COLUMN(W$3)))=INDIRECT(ADDRESS(ROW(),COLUMN(W$3))),"","NG")</f>
        <v>#VALUE!</v>
      </c>
      <c r="AW44" s="325" t="e" cm="1">
        <f t="array" aca="1" ref="AW44" ca="1">IF(INDIRECT(ADDRESS(ROW($AO$4)+$AO44-1,COLUMN(X$3)))=INDIRECT(ADDRESS(ROW(),COLUMN(X$3))),"","NG")</f>
        <v>#VALUE!</v>
      </c>
      <c r="AX44" s="325" t="e" cm="1">
        <f t="array" aca="1" ref="AX44" ca="1">IF(INDIRECT(ADDRESS(ROW($AO$4)+$AO44-1,COLUMN(Y$3)))=INDIRECT(ADDRESS(ROW(),COLUMN(Y$3))),"","NG")</f>
        <v>#VALUE!</v>
      </c>
      <c r="AY44" s="325" t="e" cm="1">
        <f t="array" aca="1" ref="AY44" ca="1">IF(INDIRECT(ADDRESS(ROW($AO$4)+$AO44-1,COLUMN(Z$3)))=INDIRECT(ADDRESS(ROW(),COLUMN(Z$3))),"","NG")</f>
        <v>#VALUE!</v>
      </c>
      <c r="AZ44" s="325" t="e" cm="1">
        <f t="array" aca="1" ref="AZ44" ca="1">IF(INDIRECT(ADDRESS(ROW($AO$4)+$AO44-1,COLUMN(AA$3)))=INDIRECT(ADDRESS(ROW(),COLUMN(AA$3))),"","NG")</f>
        <v>#VALUE!</v>
      </c>
      <c r="BA44" s="325" t="e" cm="1">
        <f t="array" aca="1" ref="BA44" ca="1">IF(INDIRECT(ADDRESS(ROW($AO$4)+$AO44-1,COLUMN(AB$3)))=INDIRECT(ADDRESS(ROW(),COLUMN(AB$3))),"","NG")</f>
        <v>#VALUE!</v>
      </c>
      <c r="BB44" s="325" t="e" cm="1">
        <f t="array" aca="1" ref="BB44" ca="1">IF(INDIRECT(ADDRESS(ROW($AO$4)+$AO44-1,COLUMN(AC$3)))=INDIRECT(ADDRESS(ROW(),COLUMN(AC$3))),"","NG")</f>
        <v>#VALUE!</v>
      </c>
      <c r="BC44" s="325" t="e" cm="1">
        <f t="array" aca="1" ref="BC44" ca="1">IF(INDIRECT(ADDRESS(ROW($AO$4)+$AO44-1,COLUMN(AD$3)))=INDIRECT(ADDRESS(ROW(),COLUMN(AD$3))),"","NG")</f>
        <v>#VALUE!</v>
      </c>
      <c r="BD44" s="325" t="e" cm="1">
        <f t="array" aca="1" ref="BD44" ca="1">IF(INDIRECT(ADDRESS(ROW($AO$4)+$AO44-1,COLUMN(AF$3)))=INDIRECT(ADDRESS(ROW(),COLUMN(AF$3))),"","NG")</f>
        <v>#VALUE!</v>
      </c>
      <c r="BE44" s="325" t="e" cm="1">
        <f t="array" aca="1" ref="BE44" ca="1">IF(INDIRECT(ADDRESS(ROW($AO$4)+$AO44-1,COLUMN(AG$3)))=INDIRECT(ADDRESS(ROW(),COLUMN(AG$3))),"","NG")</f>
        <v>#VALUE!</v>
      </c>
      <c r="BF44" s="325" t="e" cm="1">
        <f t="array" aca="1" ref="BF44" ca="1">IF(INDIRECT(ADDRESS(ROW($AO$4)+$AO44-1,COLUMN(AH$3)))=INDIRECT(ADDRESS(ROW(),COLUMN(AH$3))),"","NG")</f>
        <v>#VALUE!</v>
      </c>
      <c r="BG44" s="325" t="e" cm="1">
        <f t="array" aca="1" ref="BG44" ca="1">IF(INDIRECT(ADDRESS(ROW($AO$4)+$AO44-1,COLUMN(AI$3)))=INDIRECT(ADDRESS(ROW(),COLUMN(AI$3))),"","NG")</f>
        <v>#VALUE!</v>
      </c>
      <c r="BH44" s="325" t="e" cm="1">
        <f t="array" aca="1" ref="BH44" ca="1">IF(INDIRECT(ADDRESS(ROW($AO$4)+$AO44-1,COLUMN(AJ$3)))=INDIRECT(ADDRESS(ROW(),COLUMN(AJ$3))),"","NG")</f>
        <v>#VALUE!</v>
      </c>
    </row>
    <row r="45" spans="8:60" x14ac:dyDescent="0.4">
      <c r="H45" s="305">
        <f t="shared" si="7"/>
        <v>42</v>
      </c>
      <c r="I45" s="80">
        <v>36</v>
      </c>
      <c r="J45" s="80">
        <v>3</v>
      </c>
      <c r="K45" s="277" t="str">
        <f t="shared" si="3"/>
        <v>10月1日(日)</v>
      </c>
      <c r="L45" s="312" t="str">
        <f t="shared" si="8"/>
        <v>(36) 部班馬場馬術競技 (速歩)(チルドレン)</v>
      </c>
      <c r="M45" s="81" t="s">
        <v>13</v>
      </c>
      <c r="N45" s="280" t="s">
        <v>1</v>
      </c>
      <c r="O45" s="283" t="s">
        <v>8</v>
      </c>
      <c r="P45" s="283" t="s">
        <v>8</v>
      </c>
      <c r="Q45" s="283">
        <v>6000</v>
      </c>
      <c r="R45" s="283" t="s">
        <v>8</v>
      </c>
      <c r="S45" s="271" t="s">
        <v>94</v>
      </c>
      <c r="T45" s="80">
        <f t="shared" si="4"/>
        <v>42</v>
      </c>
      <c r="U45" s="80">
        <f t="shared" si="5"/>
        <v>36</v>
      </c>
      <c r="V45" s="80" t="s">
        <v>12</v>
      </c>
      <c r="W45" s="80" t="s">
        <v>392</v>
      </c>
      <c r="X45" s="80">
        <v>0</v>
      </c>
      <c r="Y45" s="80">
        <v>0</v>
      </c>
      <c r="Z45" s="80">
        <v>0</v>
      </c>
      <c r="AA45" s="80">
        <v>0</v>
      </c>
      <c r="AB45" s="80">
        <v>1</v>
      </c>
      <c r="AC45" s="80">
        <v>0</v>
      </c>
      <c r="AD45" s="271" t="s">
        <v>255</v>
      </c>
      <c r="AE45" s="271" t="str">
        <f>IF(AD45&lt;&gt;"",VLOOKUP(AD45,リスト!$R$12:$S$18,2,FALSE),"")</f>
        <v>リスト!$J$4:$J$4</v>
      </c>
      <c r="AF45" s="271" t="s">
        <v>416</v>
      </c>
      <c r="AG45" s="308" t="s">
        <v>435</v>
      </c>
      <c r="AH45" s="308">
        <v>600</v>
      </c>
      <c r="AI45" s="308">
        <v>120</v>
      </c>
      <c r="AJ45" s="308">
        <v>12</v>
      </c>
      <c r="AK45" s="126"/>
      <c r="AM45" s="327" t="str">
        <f t="shared" si="9"/>
        <v>部班馬場馬術競技 (速歩)チルドレン</v>
      </c>
      <c r="AN45" s="44"/>
      <c r="AO45" s="44">
        <f t="shared" si="10"/>
        <v>42</v>
      </c>
      <c r="AP45" s="325" t="e" cm="1">
        <f t="array" aca="1" ref="AP45" ca="1">IF(INDIRECT(ADDRESS(ROW($AO$4)+$AO45-1,COLUMN(O$3)))=INDIRECT(ADDRESS(ROW(),COLUMN(O$3))),"","NG")</f>
        <v>#VALUE!</v>
      </c>
      <c r="AQ45" s="325" t="e" cm="1">
        <f t="array" aca="1" ref="AQ45" ca="1">IF(INDIRECT(ADDRESS(ROW($AO$4)+$AO45-1,COLUMN(P$3)))=INDIRECT(ADDRESS(ROW(),COLUMN(P$3))),"","NG")</f>
        <v>#VALUE!</v>
      </c>
      <c r="AR45" s="325" t="e" cm="1">
        <f t="array" aca="1" ref="AR45" ca="1">IF(INDIRECT(ADDRESS(ROW($AO$4)+$AO45-1,COLUMN(Q$3)))=INDIRECT(ADDRESS(ROW(),COLUMN(Q$3))),"","NG")</f>
        <v>#VALUE!</v>
      </c>
      <c r="AS45" s="325" t="e" cm="1">
        <f t="array" aca="1" ref="AS45" ca="1">IF(INDIRECT(ADDRESS(ROW($AO$4)+$AO45-1,COLUMN(R$3)))=INDIRECT(ADDRESS(ROW(),COLUMN(R$3))),"","NG")</f>
        <v>#VALUE!</v>
      </c>
      <c r="AT45" s="325" t="e" cm="1">
        <f t="array" aca="1" ref="AT45" ca="1">IF(INDIRECT(ADDRESS(ROW($AO$4)+$AO45-1,COLUMN(S$3)))=INDIRECT(ADDRESS(ROW(),COLUMN(S$3))),"","NG")</f>
        <v>#VALUE!</v>
      </c>
      <c r="AU45" s="325" t="e" cm="1">
        <f t="array" aca="1" ref="AU45" ca="1">IF(INDIRECT(ADDRESS(ROW($AO$4)+$AO45-1,COLUMN(V$3)))=INDIRECT(ADDRESS(ROW(),COLUMN(V$3))),"","NG")</f>
        <v>#VALUE!</v>
      </c>
      <c r="AV45" s="325" t="e" cm="1">
        <f t="array" aca="1" ref="AV45" ca="1">IF(INDIRECT(ADDRESS(ROW($AO$4)+$AO45-1,COLUMN(W$3)))=INDIRECT(ADDRESS(ROW(),COLUMN(W$3))),"","NG")</f>
        <v>#VALUE!</v>
      </c>
      <c r="AW45" s="325" t="e" cm="1">
        <f t="array" aca="1" ref="AW45" ca="1">IF(INDIRECT(ADDRESS(ROW($AO$4)+$AO45-1,COLUMN(X$3)))=INDIRECT(ADDRESS(ROW(),COLUMN(X$3))),"","NG")</f>
        <v>#VALUE!</v>
      </c>
      <c r="AX45" s="325" t="e" cm="1">
        <f t="array" aca="1" ref="AX45" ca="1">IF(INDIRECT(ADDRESS(ROW($AO$4)+$AO45-1,COLUMN(Y$3)))=INDIRECT(ADDRESS(ROW(),COLUMN(Y$3))),"","NG")</f>
        <v>#VALUE!</v>
      </c>
      <c r="AY45" s="325" t="e" cm="1">
        <f t="array" aca="1" ref="AY45" ca="1">IF(INDIRECT(ADDRESS(ROW($AO$4)+$AO45-1,COLUMN(Z$3)))=INDIRECT(ADDRESS(ROW(),COLUMN(Z$3))),"","NG")</f>
        <v>#VALUE!</v>
      </c>
      <c r="AZ45" s="325" t="e" cm="1">
        <f t="array" aca="1" ref="AZ45" ca="1">IF(INDIRECT(ADDRESS(ROW($AO$4)+$AO45-1,COLUMN(AA$3)))=INDIRECT(ADDRESS(ROW(),COLUMN(AA$3))),"","NG")</f>
        <v>#VALUE!</v>
      </c>
      <c r="BA45" s="325" t="e" cm="1">
        <f t="array" aca="1" ref="BA45" ca="1">IF(INDIRECT(ADDRESS(ROW($AO$4)+$AO45-1,COLUMN(AB$3)))=INDIRECT(ADDRESS(ROW(),COLUMN(AB$3))),"","NG")</f>
        <v>#VALUE!</v>
      </c>
      <c r="BB45" s="325" t="e" cm="1">
        <f t="array" aca="1" ref="BB45" ca="1">IF(INDIRECT(ADDRESS(ROW($AO$4)+$AO45-1,COLUMN(AC$3)))=INDIRECT(ADDRESS(ROW(),COLUMN(AC$3))),"","NG")</f>
        <v>#VALUE!</v>
      </c>
      <c r="BC45" s="325" t="e" cm="1">
        <f t="array" aca="1" ref="BC45" ca="1">IF(INDIRECT(ADDRESS(ROW($AO$4)+$AO45-1,COLUMN(AD$3)))=INDIRECT(ADDRESS(ROW(),COLUMN(AD$3))),"","NG")</f>
        <v>#VALUE!</v>
      </c>
      <c r="BD45" s="325" t="e" cm="1">
        <f t="array" aca="1" ref="BD45" ca="1">IF(INDIRECT(ADDRESS(ROW($AO$4)+$AO45-1,COLUMN(AF$3)))=INDIRECT(ADDRESS(ROW(),COLUMN(AF$3))),"","NG")</f>
        <v>#VALUE!</v>
      </c>
      <c r="BE45" s="325" t="e" cm="1">
        <f t="array" aca="1" ref="BE45" ca="1">IF(INDIRECT(ADDRESS(ROW($AO$4)+$AO45-1,COLUMN(AG$3)))=INDIRECT(ADDRESS(ROW(),COLUMN(AG$3))),"","NG")</f>
        <v>#VALUE!</v>
      </c>
      <c r="BF45" s="325" t="e" cm="1">
        <f t="array" aca="1" ref="BF45" ca="1">IF(INDIRECT(ADDRESS(ROW($AO$4)+$AO45-1,COLUMN(AH$3)))=INDIRECT(ADDRESS(ROW(),COLUMN(AH$3))),"","NG")</f>
        <v>#VALUE!</v>
      </c>
      <c r="BG45" s="325" t="e" cm="1">
        <f t="array" aca="1" ref="BG45" ca="1">IF(INDIRECT(ADDRESS(ROW($AO$4)+$AO45-1,COLUMN(AI$3)))=INDIRECT(ADDRESS(ROW(),COLUMN(AI$3))),"","NG")</f>
        <v>#VALUE!</v>
      </c>
      <c r="BH45" s="325" t="e" cm="1">
        <f t="array" aca="1" ref="BH45" ca="1">IF(INDIRECT(ADDRESS(ROW($AO$4)+$AO45-1,COLUMN(AJ$3)))=INDIRECT(ADDRESS(ROW(),COLUMN(AJ$3))),"","NG")</f>
        <v>#VALUE!</v>
      </c>
    </row>
    <row r="46" spans="8:60" x14ac:dyDescent="0.4">
      <c r="H46" s="305">
        <f t="shared" si="7"/>
        <v>43</v>
      </c>
      <c r="I46" s="80">
        <v>37</v>
      </c>
      <c r="J46" s="80">
        <v>3</v>
      </c>
      <c r="K46" s="277" t="str">
        <f t="shared" si="3"/>
        <v>10月1日(日)</v>
      </c>
      <c r="L46" s="312" t="str">
        <f t="shared" si="8"/>
        <v>(37) 部班馬場馬術競技 (駈歩)(一般)</v>
      </c>
      <c r="M46" s="81" t="s">
        <v>1789</v>
      </c>
      <c r="N46" s="280" t="s">
        <v>1775</v>
      </c>
      <c r="O46" s="283">
        <v>7000</v>
      </c>
      <c r="P46" s="283">
        <v>6000</v>
      </c>
      <c r="Q46" s="283">
        <v>6000</v>
      </c>
      <c r="R46" s="283" t="s">
        <v>8</v>
      </c>
      <c r="S46" s="271"/>
      <c r="T46" s="80">
        <f t="shared" si="4"/>
        <v>43</v>
      </c>
      <c r="U46" s="80">
        <f t="shared" si="5"/>
        <v>37</v>
      </c>
      <c r="V46" s="80" t="s">
        <v>392</v>
      </c>
      <c r="W46" s="80" t="s">
        <v>12</v>
      </c>
      <c r="X46" s="80">
        <v>1</v>
      </c>
      <c r="Y46" s="80">
        <v>1</v>
      </c>
      <c r="Z46" s="80">
        <v>1</v>
      </c>
      <c r="AA46" s="80">
        <v>1</v>
      </c>
      <c r="AB46" s="80">
        <v>1</v>
      </c>
      <c r="AC46" s="80">
        <v>1</v>
      </c>
      <c r="AD46" s="271" t="s">
        <v>384</v>
      </c>
      <c r="AE46" s="271" t="str">
        <f>IF(AD46&lt;&gt;"",VLOOKUP(AD46,リスト!$R$12:$S$18,2,FALSE),"")</f>
        <v>リスト!$J$2:$J$4</v>
      </c>
      <c r="AF46" s="271" t="s">
        <v>416</v>
      </c>
      <c r="AG46" s="308" t="s">
        <v>435</v>
      </c>
      <c r="AH46" s="308">
        <v>600</v>
      </c>
      <c r="AI46" s="308">
        <v>120</v>
      </c>
      <c r="AJ46" s="308">
        <v>12</v>
      </c>
      <c r="AK46" s="126"/>
      <c r="AM46" s="327" t="str">
        <f t="shared" si="9"/>
        <v>部班馬場馬術競技 (駈歩)一般</v>
      </c>
      <c r="AN46" s="44"/>
      <c r="AO46" s="44">
        <f t="shared" si="10"/>
        <v>43</v>
      </c>
      <c r="AP46" s="325" t="e" cm="1">
        <f t="array" aca="1" ref="AP46" ca="1">IF(INDIRECT(ADDRESS(ROW($AO$4)+$AO46-1,COLUMN(O$3)))=INDIRECT(ADDRESS(ROW(),COLUMN(O$3))),"","NG")</f>
        <v>#VALUE!</v>
      </c>
      <c r="AQ46" s="325" t="e" cm="1">
        <f t="array" aca="1" ref="AQ46" ca="1">IF(INDIRECT(ADDRESS(ROW($AO$4)+$AO46-1,COLUMN(P$3)))=INDIRECT(ADDRESS(ROW(),COLUMN(P$3))),"","NG")</f>
        <v>#VALUE!</v>
      </c>
      <c r="AR46" s="325" t="e" cm="1">
        <f t="array" aca="1" ref="AR46" ca="1">IF(INDIRECT(ADDRESS(ROW($AO$4)+$AO46-1,COLUMN(Q$3)))=INDIRECT(ADDRESS(ROW(),COLUMN(Q$3))),"","NG")</f>
        <v>#VALUE!</v>
      </c>
      <c r="AS46" s="325" t="e" cm="1">
        <f t="array" aca="1" ref="AS46" ca="1">IF(INDIRECT(ADDRESS(ROW($AO$4)+$AO46-1,COLUMN(R$3)))=INDIRECT(ADDRESS(ROW(),COLUMN(R$3))),"","NG")</f>
        <v>#VALUE!</v>
      </c>
      <c r="AT46" s="325" t="e" cm="1">
        <f t="array" aca="1" ref="AT46" ca="1">IF(INDIRECT(ADDRESS(ROW($AO$4)+$AO46-1,COLUMN(S$3)))=INDIRECT(ADDRESS(ROW(),COLUMN(S$3))),"","NG")</f>
        <v>#VALUE!</v>
      </c>
      <c r="AU46" s="325" t="e" cm="1">
        <f t="array" aca="1" ref="AU46" ca="1">IF(INDIRECT(ADDRESS(ROW($AO$4)+$AO46-1,COLUMN(V$3)))=INDIRECT(ADDRESS(ROW(),COLUMN(V$3))),"","NG")</f>
        <v>#VALUE!</v>
      </c>
      <c r="AV46" s="325" t="e" cm="1">
        <f t="array" aca="1" ref="AV46" ca="1">IF(INDIRECT(ADDRESS(ROW($AO$4)+$AO46-1,COLUMN(W$3)))=INDIRECT(ADDRESS(ROW(),COLUMN(W$3))),"","NG")</f>
        <v>#VALUE!</v>
      </c>
      <c r="AW46" s="325" t="e" cm="1">
        <f t="array" aca="1" ref="AW46" ca="1">IF(INDIRECT(ADDRESS(ROW($AO$4)+$AO46-1,COLUMN(X$3)))=INDIRECT(ADDRESS(ROW(),COLUMN(X$3))),"","NG")</f>
        <v>#VALUE!</v>
      </c>
      <c r="AX46" s="325" t="e" cm="1">
        <f t="array" aca="1" ref="AX46" ca="1">IF(INDIRECT(ADDRESS(ROW($AO$4)+$AO46-1,COLUMN(Y$3)))=INDIRECT(ADDRESS(ROW(),COLUMN(Y$3))),"","NG")</f>
        <v>#VALUE!</v>
      </c>
      <c r="AY46" s="325" t="e" cm="1">
        <f t="array" aca="1" ref="AY46" ca="1">IF(INDIRECT(ADDRESS(ROW($AO$4)+$AO46-1,COLUMN(Z$3)))=INDIRECT(ADDRESS(ROW(),COLUMN(Z$3))),"","NG")</f>
        <v>#VALUE!</v>
      </c>
      <c r="AZ46" s="325" t="e" cm="1">
        <f t="array" aca="1" ref="AZ46" ca="1">IF(INDIRECT(ADDRESS(ROW($AO$4)+$AO46-1,COLUMN(AA$3)))=INDIRECT(ADDRESS(ROW(),COLUMN(AA$3))),"","NG")</f>
        <v>#VALUE!</v>
      </c>
      <c r="BA46" s="325" t="e" cm="1">
        <f t="array" aca="1" ref="BA46" ca="1">IF(INDIRECT(ADDRESS(ROW($AO$4)+$AO46-1,COLUMN(AB$3)))=INDIRECT(ADDRESS(ROW(),COLUMN(AB$3))),"","NG")</f>
        <v>#VALUE!</v>
      </c>
      <c r="BB46" s="325" t="e" cm="1">
        <f t="array" aca="1" ref="BB46" ca="1">IF(INDIRECT(ADDRESS(ROW($AO$4)+$AO46-1,COLUMN(AC$3)))=INDIRECT(ADDRESS(ROW(),COLUMN(AC$3))),"","NG")</f>
        <v>#VALUE!</v>
      </c>
      <c r="BC46" s="325" t="e" cm="1">
        <f t="array" aca="1" ref="BC46" ca="1">IF(INDIRECT(ADDRESS(ROW($AO$4)+$AO46-1,COLUMN(AD$3)))=INDIRECT(ADDRESS(ROW(),COLUMN(AD$3))),"","NG")</f>
        <v>#VALUE!</v>
      </c>
      <c r="BD46" s="325" t="e" cm="1">
        <f t="array" aca="1" ref="BD46" ca="1">IF(INDIRECT(ADDRESS(ROW($AO$4)+$AO46-1,COLUMN(AF$3)))=INDIRECT(ADDRESS(ROW(),COLUMN(AF$3))),"","NG")</f>
        <v>#VALUE!</v>
      </c>
      <c r="BE46" s="325" t="e" cm="1">
        <f t="array" aca="1" ref="BE46" ca="1">IF(INDIRECT(ADDRESS(ROW($AO$4)+$AO46-1,COLUMN(AG$3)))=INDIRECT(ADDRESS(ROW(),COLUMN(AG$3))),"","NG")</f>
        <v>#VALUE!</v>
      </c>
      <c r="BF46" s="325" t="e" cm="1">
        <f t="array" aca="1" ref="BF46" ca="1">IF(INDIRECT(ADDRESS(ROW($AO$4)+$AO46-1,COLUMN(AH$3)))=INDIRECT(ADDRESS(ROW(),COLUMN(AH$3))),"","NG")</f>
        <v>#VALUE!</v>
      </c>
      <c r="BG46" s="325" t="e" cm="1">
        <f t="array" aca="1" ref="BG46" ca="1">IF(INDIRECT(ADDRESS(ROW($AO$4)+$AO46-1,COLUMN(AI$3)))=INDIRECT(ADDRESS(ROW(),COLUMN(AI$3))),"","NG")</f>
        <v>#VALUE!</v>
      </c>
      <c r="BH46" s="325" t="e" cm="1">
        <f t="array" aca="1" ref="BH46" ca="1">IF(INDIRECT(ADDRESS(ROW($AO$4)+$AO46-1,COLUMN(AJ$3)))=INDIRECT(ADDRESS(ROW(),COLUMN(AJ$3))),"","NG")</f>
        <v>#VALUE!</v>
      </c>
    </row>
    <row r="47" spans="8:60" x14ac:dyDescent="0.4">
      <c r="H47" s="305">
        <f t="shared" si="7"/>
        <v>44</v>
      </c>
      <c r="I47" s="80">
        <v>37</v>
      </c>
      <c r="J47" s="80">
        <v>3</v>
      </c>
      <c r="K47" s="277" t="str">
        <f t="shared" si="3"/>
        <v>10月1日(日)</v>
      </c>
      <c r="L47" s="312" t="str">
        <f t="shared" si="8"/>
        <v>(37) 部班馬場馬術競技 (駈歩)(チルドレン)</v>
      </c>
      <c r="M47" s="81" t="s">
        <v>1789</v>
      </c>
      <c r="N47" s="280" t="s">
        <v>1</v>
      </c>
      <c r="O47" s="283" t="s">
        <v>8</v>
      </c>
      <c r="P47" s="283" t="s">
        <v>8</v>
      </c>
      <c r="Q47" s="283">
        <v>6000</v>
      </c>
      <c r="R47" s="283" t="s">
        <v>8</v>
      </c>
      <c r="S47" s="271" t="s">
        <v>94</v>
      </c>
      <c r="T47" s="80">
        <f t="shared" si="4"/>
        <v>44</v>
      </c>
      <c r="U47" s="80">
        <f t="shared" si="5"/>
        <v>37</v>
      </c>
      <c r="V47" s="80" t="s">
        <v>392</v>
      </c>
      <c r="W47" s="80" t="s">
        <v>12</v>
      </c>
      <c r="X47" s="80">
        <v>0</v>
      </c>
      <c r="Y47" s="80">
        <v>0</v>
      </c>
      <c r="Z47" s="80">
        <v>0</v>
      </c>
      <c r="AA47" s="80">
        <v>0</v>
      </c>
      <c r="AB47" s="80">
        <v>1</v>
      </c>
      <c r="AC47" s="80">
        <v>0</v>
      </c>
      <c r="AD47" s="271" t="s">
        <v>255</v>
      </c>
      <c r="AE47" s="271" t="str">
        <f>IF(AD47&lt;&gt;"",VLOOKUP(AD47,リスト!$R$12:$S$18,2,FALSE),"")</f>
        <v>リスト!$J$4:$J$4</v>
      </c>
      <c r="AF47" s="271" t="s">
        <v>416</v>
      </c>
      <c r="AG47" s="308" t="s">
        <v>435</v>
      </c>
      <c r="AH47" s="308">
        <v>600</v>
      </c>
      <c r="AI47" s="308">
        <v>120</v>
      </c>
      <c r="AJ47" s="308">
        <v>12</v>
      </c>
      <c r="AK47" s="126"/>
      <c r="AM47" s="327" t="str">
        <f t="shared" si="9"/>
        <v>部班馬場馬術競技 (駈歩)チルドレン</v>
      </c>
      <c r="AN47" s="44"/>
      <c r="AO47" s="44">
        <f t="shared" si="10"/>
        <v>44</v>
      </c>
      <c r="AP47" s="325" t="e" cm="1">
        <f t="array" aca="1" ref="AP47" ca="1">IF(INDIRECT(ADDRESS(ROW($AO$4)+$AO47-1,COLUMN(O$3)))=INDIRECT(ADDRESS(ROW(),COLUMN(O$3))),"","NG")</f>
        <v>#VALUE!</v>
      </c>
      <c r="AQ47" s="325" t="e" cm="1">
        <f t="array" aca="1" ref="AQ47" ca="1">IF(INDIRECT(ADDRESS(ROW($AO$4)+$AO47-1,COLUMN(P$3)))=INDIRECT(ADDRESS(ROW(),COLUMN(P$3))),"","NG")</f>
        <v>#VALUE!</v>
      </c>
      <c r="AR47" s="325" t="e" cm="1">
        <f t="array" aca="1" ref="AR47" ca="1">IF(INDIRECT(ADDRESS(ROW($AO$4)+$AO47-1,COLUMN(Q$3)))=INDIRECT(ADDRESS(ROW(),COLUMN(Q$3))),"","NG")</f>
        <v>#VALUE!</v>
      </c>
      <c r="AS47" s="325" t="e" cm="1">
        <f t="array" aca="1" ref="AS47" ca="1">IF(INDIRECT(ADDRESS(ROW($AO$4)+$AO47-1,COLUMN(R$3)))=INDIRECT(ADDRESS(ROW(),COLUMN(R$3))),"","NG")</f>
        <v>#VALUE!</v>
      </c>
      <c r="AT47" s="325" t="e" cm="1">
        <f t="array" aca="1" ref="AT47" ca="1">IF(INDIRECT(ADDRESS(ROW($AO$4)+$AO47-1,COLUMN(S$3)))=INDIRECT(ADDRESS(ROW(),COLUMN(S$3))),"","NG")</f>
        <v>#VALUE!</v>
      </c>
      <c r="AU47" s="325" t="e" cm="1">
        <f t="array" aca="1" ref="AU47" ca="1">IF(INDIRECT(ADDRESS(ROW($AO$4)+$AO47-1,COLUMN(V$3)))=INDIRECT(ADDRESS(ROW(),COLUMN(V$3))),"","NG")</f>
        <v>#VALUE!</v>
      </c>
      <c r="AV47" s="325" t="e" cm="1">
        <f t="array" aca="1" ref="AV47" ca="1">IF(INDIRECT(ADDRESS(ROW($AO$4)+$AO47-1,COLUMN(W$3)))=INDIRECT(ADDRESS(ROW(),COLUMN(W$3))),"","NG")</f>
        <v>#VALUE!</v>
      </c>
      <c r="AW47" s="325" t="e" cm="1">
        <f t="array" aca="1" ref="AW47" ca="1">IF(INDIRECT(ADDRESS(ROW($AO$4)+$AO47-1,COLUMN(X$3)))=INDIRECT(ADDRESS(ROW(),COLUMN(X$3))),"","NG")</f>
        <v>#VALUE!</v>
      </c>
      <c r="AX47" s="325" t="e" cm="1">
        <f t="array" aca="1" ref="AX47" ca="1">IF(INDIRECT(ADDRESS(ROW($AO$4)+$AO47-1,COLUMN(Y$3)))=INDIRECT(ADDRESS(ROW(),COLUMN(Y$3))),"","NG")</f>
        <v>#VALUE!</v>
      </c>
      <c r="AY47" s="325" t="e" cm="1">
        <f t="array" aca="1" ref="AY47" ca="1">IF(INDIRECT(ADDRESS(ROW($AO$4)+$AO47-1,COLUMN(Z$3)))=INDIRECT(ADDRESS(ROW(),COLUMN(Z$3))),"","NG")</f>
        <v>#VALUE!</v>
      </c>
      <c r="AZ47" s="325" t="e" cm="1">
        <f t="array" aca="1" ref="AZ47" ca="1">IF(INDIRECT(ADDRESS(ROW($AO$4)+$AO47-1,COLUMN(AA$3)))=INDIRECT(ADDRESS(ROW(),COLUMN(AA$3))),"","NG")</f>
        <v>#VALUE!</v>
      </c>
      <c r="BA47" s="325" t="e" cm="1">
        <f t="array" aca="1" ref="BA47" ca="1">IF(INDIRECT(ADDRESS(ROW($AO$4)+$AO47-1,COLUMN(AB$3)))=INDIRECT(ADDRESS(ROW(),COLUMN(AB$3))),"","NG")</f>
        <v>#VALUE!</v>
      </c>
      <c r="BB47" s="325" t="e" cm="1">
        <f t="array" aca="1" ref="BB47" ca="1">IF(INDIRECT(ADDRESS(ROW($AO$4)+$AO47-1,COLUMN(AC$3)))=INDIRECT(ADDRESS(ROW(),COLUMN(AC$3))),"","NG")</f>
        <v>#VALUE!</v>
      </c>
      <c r="BC47" s="325" t="e" cm="1">
        <f t="array" aca="1" ref="BC47" ca="1">IF(INDIRECT(ADDRESS(ROW($AO$4)+$AO47-1,COLUMN(AD$3)))=INDIRECT(ADDRESS(ROW(),COLUMN(AD$3))),"","NG")</f>
        <v>#VALUE!</v>
      </c>
      <c r="BD47" s="325" t="e" cm="1">
        <f t="array" aca="1" ref="BD47" ca="1">IF(INDIRECT(ADDRESS(ROW($AO$4)+$AO47-1,COLUMN(AF$3)))=INDIRECT(ADDRESS(ROW(),COLUMN(AF$3))),"","NG")</f>
        <v>#VALUE!</v>
      </c>
      <c r="BE47" s="325" t="e" cm="1">
        <f t="array" aca="1" ref="BE47" ca="1">IF(INDIRECT(ADDRESS(ROW($AO$4)+$AO47-1,COLUMN(AG$3)))=INDIRECT(ADDRESS(ROW(),COLUMN(AG$3))),"","NG")</f>
        <v>#VALUE!</v>
      </c>
      <c r="BF47" s="325" t="e" cm="1">
        <f t="array" aca="1" ref="BF47" ca="1">IF(INDIRECT(ADDRESS(ROW($AO$4)+$AO47-1,COLUMN(AH$3)))=INDIRECT(ADDRESS(ROW(),COLUMN(AH$3))),"","NG")</f>
        <v>#VALUE!</v>
      </c>
      <c r="BG47" s="325" t="e" cm="1">
        <f t="array" aca="1" ref="BG47" ca="1">IF(INDIRECT(ADDRESS(ROW($AO$4)+$AO47-1,COLUMN(AI$3)))=INDIRECT(ADDRESS(ROW(),COLUMN(AI$3))),"","NG")</f>
        <v>#VALUE!</v>
      </c>
      <c r="BH47" s="325" t="e" cm="1">
        <f t="array" aca="1" ref="BH47" ca="1">IF(INDIRECT(ADDRESS(ROW($AO$4)+$AO47-1,COLUMN(AJ$3)))=INDIRECT(ADDRESS(ROW(),COLUMN(AJ$3))),"","NG")</f>
        <v>#VALUE!</v>
      </c>
    </row>
    <row r="48" spans="8:60" x14ac:dyDescent="0.4">
      <c r="H48" s="305">
        <f t="shared" si="7"/>
        <v>45</v>
      </c>
      <c r="I48" s="80">
        <v>38</v>
      </c>
      <c r="J48" s="80">
        <v>3</v>
      </c>
      <c r="K48" s="277" t="str">
        <f t="shared" si="3"/>
        <v>10月1日(日)</v>
      </c>
      <c r="L48" s="312" t="str">
        <f t="shared" si="8"/>
        <v>(38) 自由選択課目</v>
      </c>
      <c r="M48" s="81" t="s">
        <v>10</v>
      </c>
      <c r="N48" s="280" t="s">
        <v>162</v>
      </c>
      <c r="O48" s="283">
        <v>12000</v>
      </c>
      <c r="P48" s="283">
        <v>10000</v>
      </c>
      <c r="Q48" s="283">
        <v>10000</v>
      </c>
      <c r="R48" s="283">
        <v>10000</v>
      </c>
      <c r="S48" s="271"/>
      <c r="T48" s="80">
        <f t="shared" si="4"/>
        <v>45</v>
      </c>
      <c r="U48" s="80">
        <f t="shared" si="5"/>
        <v>38</v>
      </c>
      <c r="V48" s="80" t="s">
        <v>392</v>
      </c>
      <c r="W48" s="80" t="s">
        <v>392</v>
      </c>
      <c r="X48" s="80">
        <v>1</v>
      </c>
      <c r="Y48" s="80">
        <v>1</v>
      </c>
      <c r="Z48" s="80">
        <v>1</v>
      </c>
      <c r="AA48" s="80">
        <v>1</v>
      </c>
      <c r="AB48" s="80">
        <v>1</v>
      </c>
      <c r="AC48" s="80">
        <v>1</v>
      </c>
      <c r="AD48" s="271" t="s">
        <v>384</v>
      </c>
      <c r="AE48" s="271" t="str">
        <f>IF(AD48&lt;&gt;"",VLOOKUP(AD48,リスト!$R$12:$S$18,2,FALSE),"")</f>
        <v>リスト!$J$2:$J$4</v>
      </c>
      <c r="AF48" s="271" t="s">
        <v>416</v>
      </c>
      <c r="AG48" s="308">
        <v>3</v>
      </c>
      <c r="AH48" s="308">
        <v>450</v>
      </c>
      <c r="AI48" s="308">
        <v>30</v>
      </c>
      <c r="AJ48" s="308">
        <v>12</v>
      </c>
      <c r="AK48" s="126"/>
      <c r="AM48" s="327" t="str">
        <f t="shared" si="9"/>
        <v>自由選択課目-</v>
      </c>
      <c r="AN48" s="44"/>
      <c r="AO48" s="44">
        <f t="shared" si="10"/>
        <v>21</v>
      </c>
      <c r="AP48" s="325" t="e" cm="1">
        <f t="array" aca="1" ref="AP48" ca="1">IF(INDIRECT(ADDRESS(ROW($AO$4)+$AO48-1,COLUMN(O$3)))=INDIRECT(ADDRESS(ROW(),COLUMN(O$3))),"","NG")</f>
        <v>#VALUE!</v>
      </c>
      <c r="AQ48" s="325" t="e" cm="1">
        <f t="array" aca="1" ref="AQ48" ca="1">IF(INDIRECT(ADDRESS(ROW($AO$4)+$AO48-1,COLUMN(P$3)))=INDIRECT(ADDRESS(ROW(),COLUMN(P$3))),"","NG")</f>
        <v>#VALUE!</v>
      </c>
      <c r="AR48" s="325" t="e" cm="1">
        <f t="array" aca="1" ref="AR48" ca="1">IF(INDIRECT(ADDRESS(ROW($AO$4)+$AO48-1,COLUMN(Q$3)))=INDIRECT(ADDRESS(ROW(),COLUMN(Q$3))),"","NG")</f>
        <v>#VALUE!</v>
      </c>
      <c r="AS48" s="325" t="e" cm="1">
        <f t="array" aca="1" ref="AS48" ca="1">IF(INDIRECT(ADDRESS(ROW($AO$4)+$AO48-1,COLUMN(R$3)))=INDIRECT(ADDRESS(ROW(),COLUMN(R$3))),"","NG")</f>
        <v>#VALUE!</v>
      </c>
      <c r="AT48" s="325" t="e" cm="1">
        <f t="array" aca="1" ref="AT48" ca="1">IF(INDIRECT(ADDRESS(ROW($AO$4)+$AO48-1,COLUMN(S$3)))=INDIRECT(ADDRESS(ROW(),COLUMN(S$3))),"","NG")</f>
        <v>#VALUE!</v>
      </c>
      <c r="AU48" s="325" t="e" cm="1">
        <f t="array" aca="1" ref="AU48" ca="1">IF(INDIRECT(ADDRESS(ROW($AO$4)+$AO48-1,COLUMN(V$3)))=INDIRECT(ADDRESS(ROW(),COLUMN(V$3))),"","NG")</f>
        <v>#VALUE!</v>
      </c>
      <c r="AV48" s="325" t="e" cm="1">
        <f t="array" aca="1" ref="AV48" ca="1">IF(INDIRECT(ADDRESS(ROW($AO$4)+$AO48-1,COLUMN(W$3)))=INDIRECT(ADDRESS(ROW(),COLUMN(W$3))),"","NG")</f>
        <v>#VALUE!</v>
      </c>
      <c r="AW48" s="325" t="e" cm="1">
        <f t="array" aca="1" ref="AW48" ca="1">IF(INDIRECT(ADDRESS(ROW($AO$4)+$AO48-1,COLUMN(X$3)))=INDIRECT(ADDRESS(ROW(),COLUMN(X$3))),"","NG")</f>
        <v>#VALUE!</v>
      </c>
      <c r="AX48" s="325" t="e" cm="1">
        <f t="array" aca="1" ref="AX48" ca="1">IF(INDIRECT(ADDRESS(ROW($AO$4)+$AO48-1,COLUMN(Y$3)))=INDIRECT(ADDRESS(ROW(),COLUMN(Y$3))),"","NG")</f>
        <v>#VALUE!</v>
      </c>
      <c r="AY48" s="325" t="e" cm="1">
        <f t="array" aca="1" ref="AY48" ca="1">IF(INDIRECT(ADDRESS(ROW($AO$4)+$AO48-1,COLUMN(Z$3)))=INDIRECT(ADDRESS(ROW(),COLUMN(Z$3))),"","NG")</f>
        <v>#VALUE!</v>
      </c>
      <c r="AZ48" s="325" t="e" cm="1">
        <f t="array" aca="1" ref="AZ48" ca="1">IF(INDIRECT(ADDRESS(ROW($AO$4)+$AO48-1,COLUMN(AA$3)))=INDIRECT(ADDRESS(ROW(),COLUMN(AA$3))),"","NG")</f>
        <v>#VALUE!</v>
      </c>
      <c r="BA48" s="325" t="e" cm="1">
        <f t="array" aca="1" ref="BA48" ca="1">IF(INDIRECT(ADDRESS(ROW($AO$4)+$AO48-1,COLUMN(AB$3)))=INDIRECT(ADDRESS(ROW(),COLUMN(AB$3))),"","NG")</f>
        <v>#VALUE!</v>
      </c>
      <c r="BB48" s="325" t="e" cm="1">
        <f t="array" aca="1" ref="BB48" ca="1">IF(INDIRECT(ADDRESS(ROW($AO$4)+$AO48-1,COLUMN(AC$3)))=INDIRECT(ADDRESS(ROW(),COLUMN(AC$3))),"","NG")</f>
        <v>#VALUE!</v>
      </c>
      <c r="BC48" s="325" t="e" cm="1">
        <f t="array" aca="1" ref="BC48" ca="1">IF(INDIRECT(ADDRESS(ROW($AO$4)+$AO48-1,COLUMN(AD$3)))=INDIRECT(ADDRESS(ROW(),COLUMN(AD$3))),"","NG")</f>
        <v>#VALUE!</v>
      </c>
      <c r="BD48" s="325" t="e" cm="1">
        <f t="array" aca="1" ref="BD48" ca="1">IF(INDIRECT(ADDRESS(ROW($AO$4)+$AO48-1,COLUMN(AF$3)))=INDIRECT(ADDRESS(ROW(),COLUMN(AF$3))),"","NG")</f>
        <v>#VALUE!</v>
      </c>
      <c r="BE48" s="325" t="e" cm="1">
        <f t="array" aca="1" ref="BE48" ca="1">IF(INDIRECT(ADDRESS(ROW($AO$4)+$AO48-1,COLUMN(AG$3)))=INDIRECT(ADDRESS(ROW(),COLUMN(AG$3))),"","NG")</f>
        <v>#VALUE!</v>
      </c>
      <c r="BF48" s="325" t="e" cm="1">
        <f t="array" aca="1" ref="BF48" ca="1">IF(INDIRECT(ADDRESS(ROW($AO$4)+$AO48-1,COLUMN(AH$3)))=INDIRECT(ADDRESS(ROW(),COLUMN(AH$3))),"","NG")</f>
        <v>#VALUE!</v>
      </c>
      <c r="BG48" s="325" t="e" cm="1">
        <f t="array" aca="1" ref="BG48" ca="1">IF(INDIRECT(ADDRESS(ROW($AO$4)+$AO48-1,COLUMN(AI$3)))=INDIRECT(ADDRESS(ROW(),COLUMN(AI$3))),"","NG")</f>
        <v>#VALUE!</v>
      </c>
      <c r="BH48" s="325" t="e" cm="1">
        <f t="array" aca="1" ref="BH48" ca="1">IF(INDIRECT(ADDRESS(ROW($AO$4)+$AO48-1,COLUMN(AJ$3)))=INDIRECT(ADDRESS(ROW(),COLUMN(AJ$3))),"","NG")</f>
        <v>#VALUE!</v>
      </c>
    </row>
    <row r="49" spans="8:60" x14ac:dyDescent="0.4">
      <c r="H49" s="305" t="str">
        <f t="shared" si="7"/>
        <v/>
      </c>
      <c r="I49" s="80"/>
      <c r="J49" s="80"/>
      <c r="K49" s="277" t="str">
        <f t="shared" si="3"/>
        <v/>
      </c>
      <c r="L49" s="312" t="str">
        <f t="shared" si="8"/>
        <v/>
      </c>
      <c r="M49" s="81"/>
      <c r="N49" s="280"/>
      <c r="O49" s="283"/>
      <c r="P49" s="283"/>
      <c r="Q49" s="283"/>
      <c r="R49" s="283"/>
      <c r="S49" s="271"/>
      <c r="T49" s="80" t="str">
        <f t="shared" si="4"/>
        <v/>
      </c>
      <c r="U49" s="80">
        <f t="shared" si="5"/>
        <v>0</v>
      </c>
      <c r="V49" s="80" t="s">
        <v>392</v>
      </c>
      <c r="W49" s="80" t="s">
        <v>392</v>
      </c>
      <c r="X49" s="80">
        <v>1</v>
      </c>
      <c r="Y49" s="80">
        <v>1</v>
      </c>
      <c r="Z49" s="80">
        <v>1</v>
      </c>
      <c r="AA49" s="80">
        <v>1</v>
      </c>
      <c r="AB49" s="80">
        <v>1</v>
      </c>
      <c r="AC49" s="80">
        <v>1</v>
      </c>
      <c r="AD49" s="271"/>
      <c r="AE49" s="271" t="str">
        <f>IF(AD49&lt;&gt;"",VLOOKUP(AD49,リスト!$R$12:$S$18,2,FALSE),"")</f>
        <v/>
      </c>
      <c r="AF49" s="271" t="s">
        <v>416</v>
      </c>
      <c r="AG49" s="308">
        <v>3</v>
      </c>
      <c r="AH49" s="308">
        <v>450</v>
      </c>
      <c r="AI49" s="308">
        <v>30</v>
      </c>
      <c r="AJ49" s="308">
        <v>12</v>
      </c>
      <c r="AK49" s="126"/>
      <c r="AM49" s="327" t="str">
        <f t="shared" si="9"/>
        <v/>
      </c>
      <c r="AN49" s="44"/>
      <c r="AO49" s="44">
        <f t="shared" si="10"/>
        <v>46</v>
      </c>
      <c r="AP49" s="325" t="e" cm="1">
        <f t="array" aca="1" ref="AP49" ca="1">IF(INDIRECT(ADDRESS(ROW($AO$4)+$AO49-1,COLUMN(O$3)))=INDIRECT(ADDRESS(ROW(),COLUMN(O$3))),"","NG")</f>
        <v>#VALUE!</v>
      </c>
      <c r="AQ49" s="325" t="e" cm="1">
        <f t="array" aca="1" ref="AQ49" ca="1">IF(INDIRECT(ADDRESS(ROW($AO$4)+$AO49-1,COLUMN(P$3)))=INDIRECT(ADDRESS(ROW(),COLUMN(P$3))),"","NG")</f>
        <v>#VALUE!</v>
      </c>
      <c r="AR49" s="325" t="e" cm="1">
        <f t="array" aca="1" ref="AR49" ca="1">IF(INDIRECT(ADDRESS(ROW($AO$4)+$AO49-1,COLUMN(Q$3)))=INDIRECT(ADDRESS(ROW(),COLUMN(Q$3))),"","NG")</f>
        <v>#VALUE!</v>
      </c>
      <c r="AS49" s="325" t="e" cm="1">
        <f t="array" aca="1" ref="AS49" ca="1">IF(INDIRECT(ADDRESS(ROW($AO$4)+$AO49-1,COLUMN(R$3)))=INDIRECT(ADDRESS(ROW(),COLUMN(R$3))),"","NG")</f>
        <v>#VALUE!</v>
      </c>
      <c r="AT49" s="325" t="e" cm="1">
        <f t="array" aca="1" ref="AT49" ca="1">IF(INDIRECT(ADDRESS(ROW($AO$4)+$AO49-1,COLUMN(S$3)))=INDIRECT(ADDRESS(ROW(),COLUMN(S$3))),"","NG")</f>
        <v>#VALUE!</v>
      </c>
      <c r="AU49" s="325" t="e" cm="1">
        <f t="array" aca="1" ref="AU49" ca="1">IF(INDIRECT(ADDRESS(ROW($AO$4)+$AO49-1,COLUMN(V$3)))=INDIRECT(ADDRESS(ROW(),COLUMN(V$3))),"","NG")</f>
        <v>#VALUE!</v>
      </c>
      <c r="AV49" s="325" t="e" cm="1">
        <f t="array" aca="1" ref="AV49" ca="1">IF(INDIRECT(ADDRESS(ROW($AO$4)+$AO49-1,COLUMN(W$3)))=INDIRECT(ADDRESS(ROW(),COLUMN(W$3))),"","NG")</f>
        <v>#VALUE!</v>
      </c>
      <c r="AW49" s="325" t="e" cm="1">
        <f t="array" aca="1" ref="AW49" ca="1">IF(INDIRECT(ADDRESS(ROW($AO$4)+$AO49-1,COLUMN(X$3)))=INDIRECT(ADDRESS(ROW(),COLUMN(X$3))),"","NG")</f>
        <v>#VALUE!</v>
      </c>
      <c r="AX49" s="325" t="e" cm="1">
        <f t="array" aca="1" ref="AX49" ca="1">IF(INDIRECT(ADDRESS(ROW($AO$4)+$AO49-1,COLUMN(Y$3)))=INDIRECT(ADDRESS(ROW(),COLUMN(Y$3))),"","NG")</f>
        <v>#VALUE!</v>
      </c>
      <c r="AY49" s="325" t="e" cm="1">
        <f t="array" aca="1" ref="AY49" ca="1">IF(INDIRECT(ADDRESS(ROW($AO$4)+$AO49-1,COLUMN(Z$3)))=INDIRECT(ADDRESS(ROW(),COLUMN(Z$3))),"","NG")</f>
        <v>#VALUE!</v>
      </c>
      <c r="AZ49" s="325" t="e" cm="1">
        <f t="array" aca="1" ref="AZ49" ca="1">IF(INDIRECT(ADDRESS(ROW($AO$4)+$AO49-1,COLUMN(AA$3)))=INDIRECT(ADDRESS(ROW(),COLUMN(AA$3))),"","NG")</f>
        <v>#VALUE!</v>
      </c>
      <c r="BA49" s="325" t="e" cm="1">
        <f t="array" aca="1" ref="BA49" ca="1">IF(INDIRECT(ADDRESS(ROW($AO$4)+$AO49-1,COLUMN(AB$3)))=INDIRECT(ADDRESS(ROW(),COLUMN(AB$3))),"","NG")</f>
        <v>#VALUE!</v>
      </c>
      <c r="BB49" s="325" t="e" cm="1">
        <f t="array" aca="1" ref="BB49" ca="1">IF(INDIRECT(ADDRESS(ROW($AO$4)+$AO49-1,COLUMN(AC$3)))=INDIRECT(ADDRESS(ROW(),COLUMN(AC$3))),"","NG")</f>
        <v>#VALUE!</v>
      </c>
      <c r="BC49" s="325" t="e" cm="1">
        <f t="array" aca="1" ref="BC49" ca="1">IF(INDIRECT(ADDRESS(ROW($AO$4)+$AO49-1,COLUMN(AD$3)))=INDIRECT(ADDRESS(ROW(),COLUMN(AD$3))),"","NG")</f>
        <v>#VALUE!</v>
      </c>
      <c r="BD49" s="325" t="e" cm="1">
        <f t="array" aca="1" ref="BD49" ca="1">IF(INDIRECT(ADDRESS(ROW($AO$4)+$AO49-1,COLUMN(AF$3)))=INDIRECT(ADDRESS(ROW(),COLUMN(AF$3))),"","NG")</f>
        <v>#VALUE!</v>
      </c>
      <c r="BE49" s="325" t="e" cm="1">
        <f t="array" aca="1" ref="BE49" ca="1">IF(INDIRECT(ADDRESS(ROW($AO$4)+$AO49-1,COLUMN(AG$3)))=INDIRECT(ADDRESS(ROW(),COLUMN(AG$3))),"","NG")</f>
        <v>#VALUE!</v>
      </c>
      <c r="BF49" s="325" t="e" cm="1">
        <f t="array" aca="1" ref="BF49" ca="1">IF(INDIRECT(ADDRESS(ROW($AO$4)+$AO49-1,COLUMN(AH$3)))=INDIRECT(ADDRESS(ROW(),COLUMN(AH$3))),"","NG")</f>
        <v>#VALUE!</v>
      </c>
      <c r="BG49" s="325" t="e" cm="1">
        <f t="array" aca="1" ref="BG49" ca="1">IF(INDIRECT(ADDRESS(ROW($AO$4)+$AO49-1,COLUMN(AI$3)))=INDIRECT(ADDRESS(ROW(),COLUMN(AI$3))),"","NG")</f>
        <v>#VALUE!</v>
      </c>
      <c r="BH49" s="325" t="e" cm="1">
        <f t="array" aca="1" ref="BH49" ca="1">IF(INDIRECT(ADDRESS(ROW($AO$4)+$AO49-1,COLUMN(AJ$3)))=INDIRECT(ADDRESS(ROW(),COLUMN(AJ$3))),"","NG")</f>
        <v>#VALUE!</v>
      </c>
    </row>
    <row r="50" spans="8:60" ht="19.5" thickBot="1" x14ac:dyDescent="0.45">
      <c r="H50" s="304" t="str">
        <f t="shared" si="7"/>
        <v/>
      </c>
      <c r="I50" s="179"/>
      <c r="J50" s="179"/>
      <c r="K50" s="179" t="str">
        <f t="shared" si="3"/>
        <v/>
      </c>
      <c r="L50" s="272" t="str">
        <f t="shared" si="8"/>
        <v/>
      </c>
      <c r="M50" s="272"/>
      <c r="N50" s="281"/>
      <c r="O50" s="284"/>
      <c r="P50" s="284"/>
      <c r="Q50" s="284"/>
      <c r="R50" s="284"/>
      <c r="S50" s="273"/>
      <c r="T50" s="179"/>
      <c r="U50" s="179"/>
      <c r="V50" s="179"/>
      <c r="W50" s="179"/>
      <c r="X50" s="179"/>
      <c r="Y50" s="179"/>
      <c r="Z50" s="179"/>
      <c r="AA50" s="179"/>
      <c r="AB50" s="179"/>
      <c r="AC50" s="179"/>
      <c r="AD50" s="273"/>
      <c r="AE50" s="273" t="str">
        <f>IF(AD50&lt;&gt;"",VLOOKUP(AD50,リスト!$R$12:$S$18,2,FALSE),"")</f>
        <v/>
      </c>
      <c r="AF50" s="273"/>
      <c r="AG50" s="309"/>
      <c r="AH50" s="307"/>
      <c r="AI50" s="307"/>
      <c r="AJ50" s="307"/>
      <c r="AK50" s="128"/>
      <c r="AM50" s="327" t="str">
        <f t="shared" si="9"/>
        <v/>
      </c>
      <c r="AN50" s="44"/>
      <c r="AO50" s="44">
        <f t="shared" si="10"/>
        <v>46</v>
      </c>
      <c r="AP50" s="325" t="e" cm="1">
        <f t="array" aca="1" ref="AP50" ca="1">IF(INDIRECT(ADDRESS(ROW($AO$4)+$AO50-1,COLUMN(O$3)))=INDIRECT(ADDRESS(ROW(),COLUMN(O$3))),"","NG")</f>
        <v>#VALUE!</v>
      </c>
      <c r="AQ50" s="325" t="e" cm="1">
        <f t="array" aca="1" ref="AQ50" ca="1">IF(INDIRECT(ADDRESS(ROW($AO$4)+$AO50-1,COLUMN(P$3)))=INDIRECT(ADDRESS(ROW(),COLUMN(P$3))),"","NG")</f>
        <v>#VALUE!</v>
      </c>
      <c r="AR50" s="325" t="e" cm="1">
        <f t="array" aca="1" ref="AR50" ca="1">IF(INDIRECT(ADDRESS(ROW($AO$4)+$AO50-1,COLUMN(Q$3)))=INDIRECT(ADDRESS(ROW(),COLUMN(Q$3))),"","NG")</f>
        <v>#VALUE!</v>
      </c>
      <c r="AS50" s="325" t="e" cm="1">
        <f t="array" aca="1" ref="AS50" ca="1">IF(INDIRECT(ADDRESS(ROW($AO$4)+$AO50-1,COLUMN(R$3)))=INDIRECT(ADDRESS(ROW(),COLUMN(R$3))),"","NG")</f>
        <v>#VALUE!</v>
      </c>
      <c r="AT50" s="325" t="e" cm="1">
        <f t="array" aca="1" ref="AT50" ca="1">IF(INDIRECT(ADDRESS(ROW($AO$4)+$AO50-1,COLUMN(S$3)))=INDIRECT(ADDRESS(ROW(),COLUMN(S$3))),"","NG")</f>
        <v>#VALUE!</v>
      </c>
      <c r="AU50" s="325" t="e" cm="1">
        <f t="array" aca="1" ref="AU50" ca="1">IF(INDIRECT(ADDRESS(ROW($AO$4)+$AO50-1,COLUMN(V$3)))=INDIRECT(ADDRESS(ROW(),COLUMN(V$3))),"","NG")</f>
        <v>#VALUE!</v>
      </c>
      <c r="AV50" s="325" t="e" cm="1">
        <f t="array" aca="1" ref="AV50" ca="1">IF(INDIRECT(ADDRESS(ROW($AO$4)+$AO50-1,COLUMN(W$3)))=INDIRECT(ADDRESS(ROW(),COLUMN(W$3))),"","NG")</f>
        <v>#VALUE!</v>
      </c>
      <c r="AW50" s="325" t="e" cm="1">
        <f t="array" aca="1" ref="AW50" ca="1">IF(INDIRECT(ADDRESS(ROW($AO$4)+$AO50-1,COLUMN(X$3)))=INDIRECT(ADDRESS(ROW(),COLUMN(X$3))),"","NG")</f>
        <v>#VALUE!</v>
      </c>
      <c r="AX50" s="325" t="e" cm="1">
        <f t="array" aca="1" ref="AX50" ca="1">IF(INDIRECT(ADDRESS(ROW($AO$4)+$AO50-1,COLUMN(Y$3)))=INDIRECT(ADDRESS(ROW(),COLUMN(Y$3))),"","NG")</f>
        <v>#VALUE!</v>
      </c>
      <c r="AY50" s="325" t="e" cm="1">
        <f t="array" aca="1" ref="AY50" ca="1">IF(INDIRECT(ADDRESS(ROW($AO$4)+$AO50-1,COLUMN(Z$3)))=INDIRECT(ADDRESS(ROW(),COLUMN(Z$3))),"","NG")</f>
        <v>#VALUE!</v>
      </c>
      <c r="AZ50" s="325" t="e" cm="1">
        <f t="array" aca="1" ref="AZ50" ca="1">IF(INDIRECT(ADDRESS(ROW($AO$4)+$AO50-1,COLUMN(AA$3)))=INDIRECT(ADDRESS(ROW(),COLUMN(AA$3))),"","NG")</f>
        <v>#VALUE!</v>
      </c>
      <c r="BA50" s="325" t="e" cm="1">
        <f t="array" aca="1" ref="BA50" ca="1">IF(INDIRECT(ADDRESS(ROW($AO$4)+$AO50-1,COLUMN(AB$3)))=INDIRECT(ADDRESS(ROW(),COLUMN(AB$3))),"","NG")</f>
        <v>#VALUE!</v>
      </c>
      <c r="BB50" s="325" t="e" cm="1">
        <f t="array" aca="1" ref="BB50" ca="1">IF(INDIRECT(ADDRESS(ROW($AO$4)+$AO50-1,COLUMN(AC$3)))=INDIRECT(ADDRESS(ROW(),COLUMN(AC$3))),"","NG")</f>
        <v>#VALUE!</v>
      </c>
      <c r="BC50" s="325" t="e" cm="1">
        <f t="array" aca="1" ref="BC50" ca="1">IF(INDIRECT(ADDRESS(ROW($AO$4)+$AO50-1,COLUMN(AD$3)))=INDIRECT(ADDRESS(ROW(),COLUMN(AD$3))),"","NG")</f>
        <v>#VALUE!</v>
      </c>
      <c r="BD50" s="325" t="e" cm="1">
        <f t="array" aca="1" ref="BD50" ca="1">IF(INDIRECT(ADDRESS(ROW($AO$4)+$AO50-1,COLUMN(AF$3)))=INDIRECT(ADDRESS(ROW(),COLUMN(AF$3))),"","NG")</f>
        <v>#VALUE!</v>
      </c>
      <c r="BE50" s="325" t="e" cm="1">
        <f t="array" aca="1" ref="BE50" ca="1">IF(INDIRECT(ADDRESS(ROW($AO$4)+$AO50-1,COLUMN(AG$3)))=INDIRECT(ADDRESS(ROW(),COLUMN(AG$3))),"","NG")</f>
        <v>#VALUE!</v>
      </c>
      <c r="BF50" s="325" t="e" cm="1">
        <f t="array" aca="1" ref="BF50" ca="1">IF(INDIRECT(ADDRESS(ROW($AO$4)+$AO50-1,COLUMN(AH$3)))=INDIRECT(ADDRESS(ROW(),COLUMN(AH$3))),"","NG")</f>
        <v>#VALUE!</v>
      </c>
      <c r="BG50" s="325" t="e" cm="1">
        <f t="array" aca="1" ref="BG50" ca="1">IF(INDIRECT(ADDRESS(ROW($AO$4)+$AO50-1,COLUMN(AI$3)))=INDIRECT(ADDRESS(ROW(),COLUMN(AI$3))),"","NG")</f>
        <v>#VALUE!</v>
      </c>
      <c r="BH50" s="325" t="e" cm="1">
        <f t="array" aca="1" ref="BH50" ca="1">IF(INDIRECT(ADDRESS(ROW($AO$4)+$AO50-1,COLUMN(AJ$3)))=INDIRECT(ADDRESS(ROW(),COLUMN(AJ$3))),"","NG")</f>
        <v>#VALUE!</v>
      </c>
    </row>
  </sheetData>
  <sheetProtection autoFilter="0"/>
  <phoneticPr fontId="4"/>
  <conditionalFormatting sqref="A4:XFD5 A6:F50 G6:XFD51">
    <cfRule type="expression" dxfId="142" priority="2">
      <formula>MOD(ROW(),2)=0</formula>
    </cfRule>
  </conditionalFormatting>
  <printOptions horizontalCentered="1"/>
  <pageMargins left="0.31496062992125984" right="0.31496062992125984" top="0.35433070866141736" bottom="0.35433070866141736" header="0.31496062992125984" footer="0.31496062992125984"/>
  <pageSetup paperSize="9" scale="4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リスト!$R$12:$R$18</xm:f>
          </x14:formula1>
          <xm:sqref>AD4:AD50</xm:sqref>
        </x14:dataValidation>
        <x14:dataValidation type="list" allowBlank="1" showInputMessage="1" showErrorMessage="1">
          <x14:formula1>
            <xm:f>リスト!$R$21:$R$30</xm:f>
          </x14:formula1>
          <xm:sqref>AF4:AF50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Y51"/>
  <sheetViews>
    <sheetView zoomScaleNormal="100" workbookViewId="0">
      <selection activeCell="B39" sqref="B39"/>
    </sheetView>
  </sheetViews>
  <sheetFormatPr defaultRowHeight="18.75" x14ac:dyDescent="0.4"/>
  <cols>
    <col min="1" max="1" width="3.5" bestFit="1" customWidth="1"/>
    <col min="2" max="2" width="48.375" bestFit="1" customWidth="1"/>
    <col min="3" max="3" width="3.5" bestFit="1" customWidth="1"/>
    <col min="4" max="4" width="3.5" customWidth="1"/>
    <col min="5" max="5" width="3.5" bestFit="1" customWidth="1"/>
    <col min="6" max="6" width="45.875" bestFit="1" customWidth="1"/>
    <col min="7" max="8" width="3.5" bestFit="1" customWidth="1"/>
    <col min="9" max="9" width="2.5" bestFit="1" customWidth="1"/>
    <col min="10" max="10" width="9" bestFit="1" customWidth="1"/>
    <col min="11" max="11" width="2.5" bestFit="1" customWidth="1"/>
    <col min="12" max="12" width="4.375" customWidth="1"/>
    <col min="13" max="13" width="2.5" bestFit="1" customWidth="1"/>
    <col min="14" max="14" width="7.125" bestFit="1" customWidth="1"/>
    <col min="15" max="15" width="2.5" bestFit="1" customWidth="1"/>
    <col min="16" max="16" width="2.5" customWidth="1"/>
    <col min="17" max="17" width="2.5" bestFit="1" customWidth="1"/>
    <col min="18" max="18" width="17.25" bestFit="1" customWidth="1"/>
    <col min="22" max="22" width="69.625" customWidth="1"/>
  </cols>
  <sheetData>
    <row r="1" spans="1:25" x14ac:dyDescent="0.4">
      <c r="A1" s="44"/>
      <c r="B1" s="44" t="s">
        <v>51</v>
      </c>
      <c r="C1" s="44"/>
      <c r="E1" s="44"/>
      <c r="F1" s="44" t="s">
        <v>52</v>
      </c>
      <c r="G1" s="44"/>
      <c r="I1" s="44"/>
      <c r="J1" s="44" t="s">
        <v>95</v>
      </c>
      <c r="K1" s="44"/>
      <c r="M1" s="44"/>
      <c r="N1" s="44" t="s">
        <v>268</v>
      </c>
      <c r="O1" s="44"/>
      <c r="Q1" s="44"/>
      <c r="R1" s="44" t="s">
        <v>169</v>
      </c>
      <c r="S1" s="44"/>
      <c r="V1" t="s">
        <v>281</v>
      </c>
      <c r="X1" t="s">
        <v>431</v>
      </c>
    </row>
    <row r="2" spans="1:25" ht="19.5" customHeight="1" x14ac:dyDescent="0.4">
      <c r="A2" s="44">
        <v>1</v>
      </c>
      <c r="B2" s="44" t="s">
        <v>5</v>
      </c>
      <c r="C2" s="44">
        <v>1</v>
      </c>
      <c r="E2" s="44">
        <v>1</v>
      </c>
      <c r="F2" s="44" t="s">
        <v>5</v>
      </c>
      <c r="G2" s="44">
        <v>1</v>
      </c>
      <c r="I2" s="44">
        <v>1</v>
      </c>
      <c r="J2" s="44" t="s">
        <v>5</v>
      </c>
      <c r="K2" s="44">
        <v>1</v>
      </c>
      <c r="M2" s="44">
        <v>1</v>
      </c>
      <c r="N2" s="44" t="s">
        <v>282</v>
      </c>
      <c r="O2" s="44">
        <v>1</v>
      </c>
      <c r="Q2" s="44">
        <v>1</v>
      </c>
      <c r="R2" s="149" t="s">
        <v>168</v>
      </c>
      <c r="S2" s="44">
        <v>1</v>
      </c>
      <c r="V2" s="44"/>
      <c r="X2" t="s">
        <v>432</v>
      </c>
    </row>
    <row r="3" spans="1:25" ht="23.25" customHeight="1" x14ac:dyDescent="0.4">
      <c r="A3" s="44">
        <v>2</v>
      </c>
      <c r="B3" s="44" t="s">
        <v>47</v>
      </c>
      <c r="C3" s="44">
        <v>2</v>
      </c>
      <c r="E3" s="44">
        <v>2</v>
      </c>
      <c r="F3" s="44" t="s">
        <v>6</v>
      </c>
      <c r="G3" s="44">
        <v>2</v>
      </c>
      <c r="I3" s="44">
        <v>2</v>
      </c>
      <c r="J3" s="44" t="s">
        <v>6</v>
      </c>
      <c r="K3" s="44">
        <v>2</v>
      </c>
      <c r="M3" s="44">
        <v>0</v>
      </c>
      <c r="N3" s="44" t="s">
        <v>268</v>
      </c>
      <c r="O3" s="44">
        <v>0</v>
      </c>
      <c r="Q3" s="44">
        <v>2</v>
      </c>
      <c r="R3" s="149" t="s">
        <v>167</v>
      </c>
      <c r="S3" s="44">
        <v>2</v>
      </c>
      <c r="V3" s="26" t="s">
        <v>1791</v>
      </c>
      <c r="Y3" t="s">
        <v>418</v>
      </c>
    </row>
    <row r="4" spans="1:25" ht="18.75" customHeight="1" x14ac:dyDescent="0.4">
      <c r="A4" s="44">
        <v>3</v>
      </c>
      <c r="B4" s="44" t="s">
        <v>4</v>
      </c>
      <c r="C4" s="44">
        <v>3</v>
      </c>
      <c r="E4" s="44">
        <v>3</v>
      </c>
      <c r="F4" s="44" t="s">
        <v>4</v>
      </c>
      <c r="G4" s="44">
        <v>3</v>
      </c>
      <c r="I4" s="44">
        <v>3</v>
      </c>
      <c r="J4" s="44" t="s">
        <v>96</v>
      </c>
      <c r="K4" s="44">
        <v>3</v>
      </c>
      <c r="Q4" s="44">
        <v>3</v>
      </c>
      <c r="R4" s="149" t="s">
        <v>166</v>
      </c>
      <c r="S4" s="44">
        <v>3</v>
      </c>
      <c r="V4" s="26" t="s">
        <v>1792</v>
      </c>
      <c r="Y4" t="s">
        <v>419</v>
      </c>
    </row>
    <row r="5" spans="1:25" x14ac:dyDescent="0.4">
      <c r="A5" s="44">
        <v>4</v>
      </c>
      <c r="B5" s="44" t="s">
        <v>49</v>
      </c>
      <c r="C5" s="44">
        <v>4</v>
      </c>
      <c r="E5" s="44">
        <v>4</v>
      </c>
      <c r="F5" s="44" t="s">
        <v>3</v>
      </c>
      <c r="G5" s="44">
        <v>4</v>
      </c>
      <c r="I5" s="44">
        <v>4</v>
      </c>
      <c r="J5" s="44" t="s">
        <v>97</v>
      </c>
      <c r="K5" s="44">
        <v>4</v>
      </c>
      <c r="Q5" s="44">
        <v>4</v>
      </c>
      <c r="R5" s="44" t="s">
        <v>160</v>
      </c>
      <c r="S5" s="44">
        <v>4</v>
      </c>
      <c r="V5" s="26" t="s">
        <v>1793</v>
      </c>
      <c r="Y5" t="s">
        <v>420</v>
      </c>
    </row>
    <row r="6" spans="1:25" x14ac:dyDescent="0.4">
      <c r="A6" s="44">
        <v>5</v>
      </c>
      <c r="B6" s="44" t="s">
        <v>50</v>
      </c>
      <c r="C6" s="44">
        <v>5</v>
      </c>
      <c r="E6" s="44">
        <v>5</v>
      </c>
      <c r="F6" s="44" t="s">
        <v>2</v>
      </c>
      <c r="G6" s="44">
        <v>5</v>
      </c>
      <c r="J6" s="28" t="s">
        <v>5</v>
      </c>
      <c r="K6" s="28">
        <v>1</v>
      </c>
      <c r="Q6" s="44">
        <v>5</v>
      </c>
      <c r="R6" s="44" t="s">
        <v>159</v>
      </c>
      <c r="S6" s="44">
        <v>5</v>
      </c>
      <c r="V6" s="26" t="s">
        <v>1794</v>
      </c>
      <c r="Y6" t="s">
        <v>1719</v>
      </c>
    </row>
    <row r="7" spans="1:25" ht="18" customHeight="1" x14ac:dyDescent="0.4">
      <c r="A7" s="44">
        <v>6</v>
      </c>
      <c r="B7" s="44" t="s">
        <v>48</v>
      </c>
      <c r="C7" s="44">
        <v>6</v>
      </c>
      <c r="E7" s="44">
        <v>6</v>
      </c>
      <c r="F7" s="44" t="s">
        <v>9</v>
      </c>
      <c r="G7" s="44">
        <v>6</v>
      </c>
      <c r="J7" s="28" t="s">
        <v>9</v>
      </c>
      <c r="K7" s="28">
        <v>2</v>
      </c>
      <c r="Q7" s="44">
        <v>6</v>
      </c>
      <c r="R7" s="44" t="s">
        <v>164</v>
      </c>
      <c r="S7" s="44">
        <v>6</v>
      </c>
      <c r="U7" s="136"/>
      <c r="V7" s="26" t="s">
        <v>1795</v>
      </c>
      <c r="Y7" t="s">
        <v>1720</v>
      </c>
    </row>
    <row r="8" spans="1:25" ht="20.25" customHeight="1" x14ac:dyDescent="0.4">
      <c r="Q8" s="44">
        <v>7</v>
      </c>
      <c r="R8" s="149"/>
      <c r="S8" s="44"/>
      <c r="U8" s="136"/>
      <c r="V8" s="26" t="s">
        <v>1796</v>
      </c>
    </row>
    <row r="9" spans="1:25" ht="20.25" customHeight="1" x14ac:dyDescent="0.4">
      <c r="A9" s="44"/>
      <c r="B9" s="44" t="s">
        <v>30</v>
      </c>
      <c r="C9" s="44"/>
      <c r="E9" s="44"/>
      <c r="F9" s="44" t="s">
        <v>29</v>
      </c>
      <c r="G9" s="44"/>
      <c r="H9" s="44"/>
      <c r="Q9" s="44">
        <v>8</v>
      </c>
      <c r="R9" s="149"/>
      <c r="S9" s="44"/>
      <c r="U9" s="136"/>
      <c r="V9" s="26" t="s">
        <v>1797</v>
      </c>
      <c r="X9" t="s">
        <v>433</v>
      </c>
    </row>
    <row r="10" spans="1:25" x14ac:dyDescent="0.4">
      <c r="A10" s="44">
        <v>1</v>
      </c>
      <c r="B10" t="s">
        <v>399</v>
      </c>
      <c r="C10" s="44">
        <v>1</v>
      </c>
      <c r="E10" s="44">
        <v>0</v>
      </c>
      <c r="F10" s="44"/>
      <c r="G10" s="44">
        <f>C10</f>
        <v>1</v>
      </c>
      <c r="H10" s="44">
        <f>E10</f>
        <v>0</v>
      </c>
      <c r="V10" s="26" t="s">
        <v>1798</v>
      </c>
      <c r="Y10" t="s">
        <v>421</v>
      </c>
    </row>
    <row r="11" spans="1:25" x14ac:dyDescent="0.4">
      <c r="A11" s="44">
        <v>2</v>
      </c>
      <c r="B11" t="s">
        <v>395</v>
      </c>
      <c r="C11" s="44">
        <v>2</v>
      </c>
      <c r="E11" s="44">
        <v>1</v>
      </c>
      <c r="F11" s="44" t="str">
        <f>IF(団体登録!B7&lt;&gt;"",団体登録!B7,"")</f>
        <v/>
      </c>
      <c r="G11" s="44">
        <f>C11</f>
        <v>2</v>
      </c>
      <c r="H11" s="44">
        <f>E11</f>
        <v>1</v>
      </c>
      <c r="Q11" t="s">
        <v>52</v>
      </c>
      <c r="V11" s="26" t="s">
        <v>1799</v>
      </c>
      <c r="Y11" t="s">
        <v>422</v>
      </c>
    </row>
    <row r="12" spans="1:25" x14ac:dyDescent="0.4">
      <c r="A12" s="44">
        <v>3</v>
      </c>
      <c r="B12" s="26" t="s">
        <v>1855</v>
      </c>
      <c r="C12" s="44">
        <v>3</v>
      </c>
      <c r="E12" s="44">
        <v>2</v>
      </c>
      <c r="F12" s="44" t="str">
        <f>IF(団体登録!A27&lt;&gt;"",団体登録!A27,"")</f>
        <v/>
      </c>
      <c r="G12" s="44">
        <f>C11</f>
        <v>2</v>
      </c>
      <c r="H12" s="44">
        <f t="shared" ref="H12:H51" si="0">E12</f>
        <v>2</v>
      </c>
      <c r="R12" s="44" t="s">
        <v>251</v>
      </c>
      <c r="S12" s="44" t="s">
        <v>385</v>
      </c>
      <c r="V12" s="26" t="s">
        <v>1800</v>
      </c>
      <c r="Y12" t="s">
        <v>423</v>
      </c>
    </row>
    <row r="13" spans="1:25" x14ac:dyDescent="0.4">
      <c r="A13" s="44">
        <v>4</v>
      </c>
      <c r="B13" s="44" t="s">
        <v>74</v>
      </c>
      <c r="C13" s="44">
        <v>4</v>
      </c>
      <c r="E13" s="44">
        <v>3</v>
      </c>
      <c r="F13" s="44" t="str">
        <f>IF(団体登録!A28&lt;&gt;"",団体登録!A28,"")</f>
        <v/>
      </c>
      <c r="G13" s="44">
        <v>2</v>
      </c>
      <c r="H13" s="44">
        <f t="shared" si="0"/>
        <v>3</v>
      </c>
      <c r="R13" s="44" t="s">
        <v>253</v>
      </c>
      <c r="S13" s="44" t="s">
        <v>386</v>
      </c>
      <c r="V13" s="26" t="s">
        <v>1801</v>
      </c>
      <c r="Y13" t="s">
        <v>1720</v>
      </c>
    </row>
    <row r="14" spans="1:25" x14ac:dyDescent="0.4">
      <c r="A14" s="44">
        <v>5</v>
      </c>
      <c r="B14" s="44" t="s">
        <v>75</v>
      </c>
      <c r="C14" s="44">
        <v>5</v>
      </c>
      <c r="E14" s="44">
        <v>4</v>
      </c>
      <c r="F14" s="44" t="str">
        <f>IF(団体登録!A29&lt;&gt;"",団体登録!A29,"")</f>
        <v/>
      </c>
      <c r="G14" s="44">
        <v>2</v>
      </c>
      <c r="H14" s="44">
        <f t="shared" si="0"/>
        <v>4</v>
      </c>
      <c r="R14" s="44" t="s">
        <v>252</v>
      </c>
      <c r="S14" s="44" t="s">
        <v>387</v>
      </c>
      <c r="V14" s="26" t="s">
        <v>1802</v>
      </c>
      <c r="Y14" t="s">
        <v>425</v>
      </c>
    </row>
    <row r="15" spans="1:25" x14ac:dyDescent="0.4">
      <c r="A15" s="44">
        <v>6</v>
      </c>
      <c r="B15" s="44" t="s">
        <v>76</v>
      </c>
      <c r="C15" s="44">
        <v>6</v>
      </c>
      <c r="E15" s="44">
        <v>5</v>
      </c>
      <c r="F15" s="44" t="str">
        <f>IF(団体登録!A30&lt;&gt;"",団体登録!A30,"")</f>
        <v/>
      </c>
      <c r="G15" s="44">
        <v>2</v>
      </c>
      <c r="H15" s="44">
        <f t="shared" si="0"/>
        <v>5</v>
      </c>
      <c r="R15" s="44" t="s">
        <v>254</v>
      </c>
      <c r="S15" s="44" t="s">
        <v>388</v>
      </c>
      <c r="V15" s="26" t="s">
        <v>1803</v>
      </c>
      <c r="Y15" t="s">
        <v>424</v>
      </c>
    </row>
    <row r="16" spans="1:25" x14ac:dyDescent="0.4">
      <c r="A16" s="44">
        <v>7</v>
      </c>
      <c r="B16" s="44" t="s">
        <v>77</v>
      </c>
      <c r="C16" s="44">
        <v>7</v>
      </c>
      <c r="E16" s="44">
        <f t="shared" ref="E16:E51" si="1">IF(F16&lt;&gt;"",A10,"")</f>
        <v>1</v>
      </c>
      <c r="F16" s="44" t="str">
        <f>IF(B10&lt;&gt;"",B10,"")</f>
        <v>伊藤忠商事(株)相互会乗馬部</v>
      </c>
      <c r="G16" s="44">
        <v>0</v>
      </c>
      <c r="H16" s="44">
        <f t="shared" si="0"/>
        <v>1</v>
      </c>
      <c r="R16" s="44" t="s">
        <v>255</v>
      </c>
      <c r="S16" s="44" t="s">
        <v>389</v>
      </c>
      <c r="V16" s="26" t="s">
        <v>1804</v>
      </c>
    </row>
    <row r="17" spans="1:25" x14ac:dyDescent="0.4">
      <c r="A17" s="44">
        <v>8</v>
      </c>
      <c r="B17" s="44" t="s">
        <v>78</v>
      </c>
      <c r="C17" s="44">
        <v>8</v>
      </c>
      <c r="E17" s="44">
        <f t="shared" si="1"/>
        <v>2</v>
      </c>
      <c r="F17" s="44" t="str">
        <f t="shared" ref="F17:F51" si="2">IF(B11&lt;&gt;"",B11,"")</f>
        <v>梅村建工(株)馬術部</v>
      </c>
      <c r="G17" s="44">
        <v>0</v>
      </c>
      <c r="H17" s="44">
        <f t="shared" si="0"/>
        <v>2</v>
      </c>
      <c r="R17" s="44" t="s">
        <v>391</v>
      </c>
      <c r="S17" s="44" t="s">
        <v>436</v>
      </c>
      <c r="V17" s="26" t="s">
        <v>1805</v>
      </c>
      <c r="X17" t="s">
        <v>434</v>
      </c>
    </row>
    <row r="18" spans="1:25" x14ac:dyDescent="0.4">
      <c r="A18" s="44">
        <v>9</v>
      </c>
      <c r="B18" s="44" t="s">
        <v>79</v>
      </c>
      <c r="C18" s="44">
        <v>9</v>
      </c>
      <c r="E18" s="44">
        <f t="shared" si="1"/>
        <v>3</v>
      </c>
      <c r="F18" s="44" t="str">
        <f t="shared" si="2"/>
        <v>クリエイティブテクノロジー乗馬愛好部</v>
      </c>
      <c r="G18" s="44">
        <v>0</v>
      </c>
      <c r="H18" s="44">
        <f t="shared" si="0"/>
        <v>3</v>
      </c>
      <c r="R18" s="44"/>
      <c r="S18" s="44"/>
      <c r="V18" s="26" t="s">
        <v>1806</v>
      </c>
      <c r="Y18" t="s">
        <v>284</v>
      </c>
    </row>
    <row r="19" spans="1:25" x14ac:dyDescent="0.4">
      <c r="A19" s="44">
        <v>10</v>
      </c>
      <c r="B19" s="44" t="s">
        <v>396</v>
      </c>
      <c r="C19" s="44">
        <v>10</v>
      </c>
      <c r="E19" s="44">
        <f t="shared" si="1"/>
        <v>4</v>
      </c>
      <c r="F19" s="44" t="str">
        <f t="shared" si="2"/>
        <v>警視庁乗馬同好会</v>
      </c>
      <c r="G19" s="44">
        <v>0</v>
      </c>
      <c r="H19" s="44">
        <f t="shared" si="0"/>
        <v>4</v>
      </c>
      <c r="V19" s="26" t="s">
        <v>1807</v>
      </c>
      <c r="Y19" t="s">
        <v>426</v>
      </c>
    </row>
    <row r="20" spans="1:25" x14ac:dyDescent="0.4">
      <c r="A20" s="44">
        <v>11</v>
      </c>
      <c r="B20" s="44" t="s">
        <v>397</v>
      </c>
      <c r="C20" s="44">
        <v>11</v>
      </c>
      <c r="E20" s="44">
        <f t="shared" si="1"/>
        <v>5</v>
      </c>
      <c r="F20" s="44" t="str">
        <f t="shared" si="2"/>
        <v>皇宮警察本部</v>
      </c>
      <c r="G20" s="44">
        <v>0</v>
      </c>
      <c r="H20" s="44">
        <f t="shared" si="0"/>
        <v>5</v>
      </c>
      <c r="Q20" t="s">
        <v>407</v>
      </c>
      <c r="V20" s="26" t="s">
        <v>1808</v>
      </c>
      <c r="Y20" t="s">
        <v>427</v>
      </c>
    </row>
    <row r="21" spans="1:25" x14ac:dyDescent="0.4">
      <c r="A21" s="44">
        <v>12</v>
      </c>
      <c r="B21" s="44" t="s">
        <v>81</v>
      </c>
      <c r="C21" s="44">
        <v>12</v>
      </c>
      <c r="E21" s="44">
        <f t="shared" si="1"/>
        <v>6</v>
      </c>
      <c r="F21" s="44" t="str">
        <f t="shared" si="2"/>
        <v>社会人昭和大学ライディングチーム</v>
      </c>
      <c r="G21" s="44">
        <v>0</v>
      </c>
      <c r="H21" s="44">
        <f t="shared" si="0"/>
        <v>6</v>
      </c>
      <c r="R21" s="44"/>
      <c r="V21" s="26" t="s">
        <v>1809</v>
      </c>
      <c r="Y21" t="s">
        <v>428</v>
      </c>
    </row>
    <row r="22" spans="1:25" x14ac:dyDescent="0.4">
      <c r="A22" s="44">
        <v>13</v>
      </c>
      <c r="B22" s="44" t="s">
        <v>82</v>
      </c>
      <c r="C22" s="44">
        <v>13</v>
      </c>
      <c r="E22" s="44">
        <f t="shared" si="1"/>
        <v>7</v>
      </c>
      <c r="F22" s="44" t="str">
        <f t="shared" si="2"/>
        <v>衆議院乗馬会</v>
      </c>
      <c r="G22" s="44">
        <v>0</v>
      </c>
      <c r="H22" s="44">
        <f t="shared" si="0"/>
        <v>7</v>
      </c>
      <c r="R22" s="44" t="s">
        <v>409</v>
      </c>
      <c r="V22" s="26" t="s">
        <v>1810</v>
      </c>
      <c r="Y22" t="s">
        <v>429</v>
      </c>
    </row>
    <row r="23" spans="1:25" x14ac:dyDescent="0.4">
      <c r="A23" s="44">
        <v>14</v>
      </c>
      <c r="B23" s="44" t="s">
        <v>83</v>
      </c>
      <c r="C23" s="44">
        <v>14</v>
      </c>
      <c r="E23" s="44">
        <f t="shared" si="1"/>
        <v>8</v>
      </c>
      <c r="F23" s="44" t="str">
        <f t="shared" si="2"/>
        <v>SOMPOホールディングス馬術部</v>
      </c>
      <c r="G23" s="44">
        <v>0</v>
      </c>
      <c r="H23" s="44">
        <f t="shared" si="0"/>
        <v>8</v>
      </c>
      <c r="R23" s="44" t="s">
        <v>410</v>
      </c>
      <c r="V23" s="26" t="s">
        <v>1811</v>
      </c>
      <c r="Y23" t="s">
        <v>430</v>
      </c>
    </row>
    <row r="24" spans="1:25" x14ac:dyDescent="0.4">
      <c r="A24" s="44">
        <v>15</v>
      </c>
      <c r="B24" s="44" t="s">
        <v>84</v>
      </c>
      <c r="C24" s="44">
        <v>15</v>
      </c>
      <c r="E24" s="44">
        <f t="shared" si="1"/>
        <v>9</v>
      </c>
      <c r="F24" s="44" t="str">
        <f t="shared" si="2"/>
        <v>日本アイ・ビー・エム(株)馬術部</v>
      </c>
      <c r="G24" s="44">
        <v>0</v>
      </c>
      <c r="H24" s="44">
        <f t="shared" si="0"/>
        <v>9</v>
      </c>
      <c r="R24" s="44" t="s">
        <v>411</v>
      </c>
      <c r="V24" s="26" t="s">
        <v>1812</v>
      </c>
      <c r="Y24" t="s">
        <v>1730</v>
      </c>
    </row>
    <row r="25" spans="1:25" x14ac:dyDescent="0.4">
      <c r="A25" s="44">
        <v>16</v>
      </c>
      <c r="B25" s="44" t="s">
        <v>85</v>
      </c>
      <c r="C25" s="44">
        <v>16</v>
      </c>
      <c r="E25" s="44">
        <f t="shared" si="1"/>
        <v>10</v>
      </c>
      <c r="F25" s="44" t="str">
        <f t="shared" si="2"/>
        <v>パナソニック(株)馬術部</v>
      </c>
      <c r="G25" s="44">
        <v>0</v>
      </c>
      <c r="H25" s="44">
        <f t="shared" si="0"/>
        <v>10</v>
      </c>
      <c r="R25" s="44" t="s">
        <v>415</v>
      </c>
      <c r="V25" s="26" t="s">
        <v>1813</v>
      </c>
      <c r="Y25" t="s">
        <v>1729</v>
      </c>
    </row>
    <row r="26" spans="1:25" x14ac:dyDescent="0.4">
      <c r="A26" s="44">
        <v>17</v>
      </c>
      <c r="B26" s="44" t="s">
        <v>86</v>
      </c>
      <c r="C26" s="44">
        <v>17</v>
      </c>
      <c r="E26" s="44">
        <f t="shared" si="1"/>
        <v>11</v>
      </c>
      <c r="F26" s="44" t="str">
        <f t="shared" si="2"/>
        <v>パナソニックシステムネットワークス(株)馬術部</v>
      </c>
      <c r="G26" s="44">
        <v>0</v>
      </c>
      <c r="H26" s="44">
        <f t="shared" si="0"/>
        <v>11</v>
      </c>
      <c r="R26" s="44" t="s">
        <v>416</v>
      </c>
      <c r="V26" s="26" t="s">
        <v>1814</v>
      </c>
      <c r="Y26" t="s">
        <v>1831</v>
      </c>
    </row>
    <row r="27" spans="1:25" x14ac:dyDescent="0.4">
      <c r="A27" s="44">
        <v>18</v>
      </c>
      <c r="B27" s="44" t="s">
        <v>400</v>
      </c>
      <c r="C27" s="44">
        <v>18</v>
      </c>
      <c r="E27" s="44">
        <f t="shared" si="1"/>
        <v>12</v>
      </c>
      <c r="F27" s="44" t="str">
        <f t="shared" si="2"/>
        <v>富士通(株)馬術部</v>
      </c>
      <c r="G27" s="44">
        <v>0</v>
      </c>
      <c r="H27" s="44">
        <f t="shared" si="0"/>
        <v>12</v>
      </c>
      <c r="R27" s="44" t="s">
        <v>412</v>
      </c>
      <c r="V27" s="26" t="s">
        <v>1815</v>
      </c>
    </row>
    <row r="28" spans="1:25" x14ac:dyDescent="0.4">
      <c r="A28" s="44">
        <v>19</v>
      </c>
      <c r="B28" s="44" t="s">
        <v>87</v>
      </c>
      <c r="C28" s="44">
        <v>19</v>
      </c>
      <c r="E28" s="44">
        <f t="shared" si="1"/>
        <v>13</v>
      </c>
      <c r="F28" s="44" t="str">
        <f t="shared" si="2"/>
        <v>防衛省乗馬同好会</v>
      </c>
      <c r="G28" s="44">
        <v>0</v>
      </c>
      <c r="H28" s="44">
        <f t="shared" si="0"/>
        <v>13</v>
      </c>
      <c r="R28" s="44" t="s">
        <v>413</v>
      </c>
      <c r="V28" s="26" t="s">
        <v>1816</v>
      </c>
    </row>
    <row r="29" spans="1:25" x14ac:dyDescent="0.4">
      <c r="A29" s="44">
        <v>20</v>
      </c>
      <c r="B29" s="44" t="s">
        <v>398</v>
      </c>
      <c r="C29" s="44">
        <v>20</v>
      </c>
      <c r="E29" s="44">
        <f t="shared" si="1"/>
        <v>14</v>
      </c>
      <c r="F29" s="44" t="str">
        <f t="shared" si="2"/>
        <v>三井物産(株)乗馬部</v>
      </c>
      <c r="G29" s="44">
        <v>0</v>
      </c>
      <c r="H29" s="44">
        <f t="shared" si="0"/>
        <v>14</v>
      </c>
      <c r="R29" s="44" t="s">
        <v>414</v>
      </c>
      <c r="V29" s="26" t="s">
        <v>1817</v>
      </c>
    </row>
    <row r="30" spans="1:25" x14ac:dyDescent="0.4">
      <c r="A30" s="44">
        <v>21</v>
      </c>
      <c r="B30" s="44" t="s">
        <v>89</v>
      </c>
      <c r="C30" s="44">
        <v>21</v>
      </c>
      <c r="E30" s="44">
        <f t="shared" si="1"/>
        <v>15</v>
      </c>
      <c r="F30" s="44" t="str">
        <f t="shared" si="2"/>
        <v>レッキス工業(株)馬術部</v>
      </c>
      <c r="G30" s="44">
        <v>0</v>
      </c>
      <c r="H30" s="44">
        <f t="shared" si="0"/>
        <v>15</v>
      </c>
      <c r="R30" s="44"/>
      <c r="V30" s="26" t="s">
        <v>1818</v>
      </c>
    </row>
    <row r="31" spans="1:25" x14ac:dyDescent="0.4">
      <c r="A31" s="44">
        <v>22</v>
      </c>
      <c r="B31" s="44" t="s">
        <v>88</v>
      </c>
      <c r="C31" s="44">
        <v>22</v>
      </c>
      <c r="E31" s="44">
        <f t="shared" si="1"/>
        <v>16</v>
      </c>
      <c r="F31" s="44" t="str">
        <f t="shared" si="2"/>
        <v>エグゼクティブコーチ(株)馬術部</v>
      </c>
      <c r="G31" s="44">
        <v>0</v>
      </c>
      <c r="H31" s="44">
        <f t="shared" si="0"/>
        <v>16</v>
      </c>
      <c r="V31" s="26" t="s">
        <v>1819</v>
      </c>
    </row>
    <row r="32" spans="1:25" x14ac:dyDescent="0.4">
      <c r="A32" s="44">
        <v>23</v>
      </c>
      <c r="B32" s="44" t="s">
        <v>402</v>
      </c>
      <c r="C32" s="44">
        <v>23</v>
      </c>
      <c r="E32" s="44">
        <f t="shared" si="1"/>
        <v>17</v>
      </c>
      <c r="F32" s="44" t="str">
        <f t="shared" si="2"/>
        <v>NTT馬術部</v>
      </c>
      <c r="G32" s="44">
        <v>0</v>
      </c>
      <c r="H32" s="44">
        <f t="shared" si="0"/>
        <v>17</v>
      </c>
      <c r="V32" s="26" t="s">
        <v>1820</v>
      </c>
    </row>
    <row r="33" spans="1:22" x14ac:dyDescent="0.4">
      <c r="A33" s="44">
        <v>24</v>
      </c>
      <c r="B33" s="44" t="s">
        <v>401</v>
      </c>
      <c r="C33" s="44">
        <v>24</v>
      </c>
      <c r="E33" s="44">
        <f t="shared" si="1"/>
        <v>18</v>
      </c>
      <c r="F33" s="44" t="str">
        <f t="shared" si="2"/>
        <v>F.R.C. book farm</v>
      </c>
      <c r="G33" s="44">
        <v>0</v>
      </c>
      <c r="H33" s="44">
        <f t="shared" si="0"/>
        <v>18</v>
      </c>
      <c r="V33" s="26" t="s">
        <v>1821</v>
      </c>
    </row>
    <row r="34" spans="1:22" x14ac:dyDescent="0.4">
      <c r="A34" s="44">
        <v>25</v>
      </c>
      <c r="B34" s="44" t="s">
        <v>1853</v>
      </c>
      <c r="C34" s="44">
        <v>25</v>
      </c>
      <c r="E34" s="44">
        <f t="shared" si="1"/>
        <v>19</v>
      </c>
      <c r="F34" s="44" t="str">
        <f t="shared" si="2"/>
        <v>グーグル合同会社馬術部</v>
      </c>
      <c r="G34" s="44">
        <v>0</v>
      </c>
      <c r="H34" s="44">
        <f t="shared" si="0"/>
        <v>19</v>
      </c>
      <c r="V34" s="26" t="s">
        <v>1822</v>
      </c>
    </row>
    <row r="35" spans="1:22" x14ac:dyDescent="0.4">
      <c r="A35" s="44">
        <v>26</v>
      </c>
      <c r="B35" s="44" t="s">
        <v>1854</v>
      </c>
      <c r="C35" s="44">
        <v>26</v>
      </c>
      <c r="E35" s="44">
        <f t="shared" si="1"/>
        <v>20</v>
      </c>
      <c r="F35" s="44" t="str">
        <f t="shared" si="2"/>
        <v>青波馬術愛好会</v>
      </c>
      <c r="G35" s="44">
        <v>0</v>
      </c>
      <c r="H35" s="44">
        <f t="shared" si="0"/>
        <v>20</v>
      </c>
      <c r="V35" s="26" t="s">
        <v>1823</v>
      </c>
    </row>
    <row r="36" spans="1:22" x14ac:dyDescent="0.4">
      <c r="A36" s="44">
        <v>27</v>
      </c>
      <c r="B36" s="44" t="s">
        <v>403</v>
      </c>
      <c r="C36" s="44">
        <v>27</v>
      </c>
      <c r="E36" s="44">
        <f t="shared" si="1"/>
        <v>21</v>
      </c>
      <c r="F36" s="44" t="str">
        <f t="shared" si="2"/>
        <v>税理士法人山田＆パートナーズ乗馬同好会</v>
      </c>
      <c r="G36" s="44">
        <v>0</v>
      </c>
      <c r="H36" s="44">
        <f t="shared" si="0"/>
        <v>21</v>
      </c>
      <c r="V36" s="26" t="s">
        <v>1824</v>
      </c>
    </row>
    <row r="37" spans="1:22" x14ac:dyDescent="0.4">
      <c r="A37" s="44">
        <v>28</v>
      </c>
      <c r="B37" s="26" t="s">
        <v>1856</v>
      </c>
      <c r="C37" s="44">
        <v>28</v>
      </c>
      <c r="E37" s="44">
        <f t="shared" si="1"/>
        <v>22</v>
      </c>
      <c r="F37" s="44" t="str">
        <f t="shared" si="2"/>
        <v>ソニー馬術部</v>
      </c>
      <c r="G37" s="44">
        <v>0</v>
      </c>
      <c r="H37" s="44">
        <f t="shared" si="0"/>
        <v>22</v>
      </c>
      <c r="V37" s="26" t="s">
        <v>1825</v>
      </c>
    </row>
    <row r="38" spans="1:22" x14ac:dyDescent="0.4">
      <c r="A38" s="44">
        <v>29</v>
      </c>
      <c r="B38" s="44" t="s">
        <v>80</v>
      </c>
      <c r="C38" s="44">
        <v>29</v>
      </c>
      <c r="E38" s="44">
        <f t="shared" si="1"/>
        <v>23</v>
      </c>
      <c r="F38" s="44" t="str">
        <f t="shared" si="2"/>
        <v>中部国際空港馬術部</v>
      </c>
      <c r="G38" s="44">
        <v>0</v>
      </c>
      <c r="H38" s="44">
        <f t="shared" si="0"/>
        <v>23</v>
      </c>
      <c r="V38" s="26" t="s">
        <v>1826</v>
      </c>
    </row>
    <row r="39" spans="1:22" x14ac:dyDescent="0.4">
      <c r="A39" s="44">
        <v>30</v>
      </c>
      <c r="B39" s="44" t="s">
        <v>404</v>
      </c>
      <c r="C39" s="44">
        <v>30</v>
      </c>
      <c r="E39" s="44">
        <f t="shared" si="1"/>
        <v>24</v>
      </c>
      <c r="F39" s="44" t="str">
        <f t="shared" si="2"/>
        <v>TMG乗馬同好会</v>
      </c>
      <c r="G39" s="44">
        <v>0</v>
      </c>
      <c r="H39" s="44">
        <f t="shared" si="0"/>
        <v>24</v>
      </c>
      <c r="V39" s="26" t="s">
        <v>1827</v>
      </c>
    </row>
    <row r="40" spans="1:22" x14ac:dyDescent="0.4">
      <c r="A40" s="44">
        <v>31</v>
      </c>
      <c r="B40" s="44" t="s">
        <v>405</v>
      </c>
      <c r="C40" s="44">
        <v>31</v>
      </c>
      <c r="E40" s="44">
        <f t="shared" si="1"/>
        <v>25</v>
      </c>
      <c r="F40" s="44" t="str">
        <f t="shared" si="2"/>
        <v>都庁・特別区乗馬部</v>
      </c>
      <c r="G40" s="44">
        <v>0</v>
      </c>
      <c r="H40" s="44">
        <f t="shared" si="0"/>
        <v>25</v>
      </c>
      <c r="V40" s="26" t="s">
        <v>1828</v>
      </c>
    </row>
    <row r="41" spans="1:22" x14ac:dyDescent="0.4">
      <c r="A41" s="44">
        <v>32</v>
      </c>
      <c r="B41" s="44" t="s">
        <v>313</v>
      </c>
      <c r="C41" s="44">
        <v>32</v>
      </c>
      <c r="E41" s="44">
        <f t="shared" si="1"/>
        <v>26</v>
      </c>
      <c r="F41" s="44" t="str">
        <f t="shared" si="2"/>
        <v>TOPPAN エッジ(株)馬術部</v>
      </c>
      <c r="G41" s="44">
        <v>0</v>
      </c>
      <c r="H41" s="44">
        <f t="shared" si="0"/>
        <v>26</v>
      </c>
      <c r="V41" s="26" t="s">
        <v>1829</v>
      </c>
    </row>
    <row r="42" spans="1:22" x14ac:dyDescent="0.4">
      <c r="A42" s="44">
        <v>33</v>
      </c>
      <c r="B42" s="44"/>
      <c r="C42" s="44">
        <v>33</v>
      </c>
      <c r="E42" s="44">
        <f t="shared" si="1"/>
        <v>27</v>
      </c>
      <c r="F42" s="44" t="str">
        <f t="shared" si="2"/>
        <v>日本知的財産協会馬術部</v>
      </c>
      <c r="G42" s="44">
        <v>0</v>
      </c>
      <c r="H42" s="44">
        <f t="shared" si="0"/>
        <v>27</v>
      </c>
    </row>
    <row r="43" spans="1:22" x14ac:dyDescent="0.4">
      <c r="A43" s="44">
        <v>34</v>
      </c>
      <c r="B43" s="44"/>
      <c r="C43" s="44">
        <v>34</v>
      </c>
      <c r="E43" s="44">
        <f t="shared" si="1"/>
        <v>28</v>
      </c>
      <c r="F43" s="44" t="str">
        <f t="shared" si="2"/>
        <v>日本電気保安協会馬術部</v>
      </c>
      <c r="G43" s="44">
        <v>0</v>
      </c>
      <c r="H43" s="44">
        <f t="shared" si="0"/>
        <v>28</v>
      </c>
    </row>
    <row r="44" spans="1:22" x14ac:dyDescent="0.4">
      <c r="A44" s="44">
        <v>35</v>
      </c>
      <c r="B44" s="44"/>
      <c r="C44" s="44">
        <v>35</v>
      </c>
      <c r="E44" s="44">
        <f t="shared" si="1"/>
        <v>29</v>
      </c>
      <c r="F44" s="44" t="str">
        <f t="shared" si="2"/>
        <v>(株)日本馬事普及馬事研究部</v>
      </c>
      <c r="G44" s="44">
        <v>0</v>
      </c>
      <c r="H44" s="44">
        <f t="shared" si="0"/>
        <v>29</v>
      </c>
    </row>
    <row r="45" spans="1:22" x14ac:dyDescent="0.4">
      <c r="A45" s="44">
        <v>36</v>
      </c>
      <c r="B45" s="44"/>
      <c r="C45" s="44">
        <v>36</v>
      </c>
      <c r="E45" s="44">
        <f t="shared" si="1"/>
        <v>30</v>
      </c>
      <c r="F45" s="44" t="str">
        <f t="shared" si="2"/>
        <v>日立グループ馬術部</v>
      </c>
      <c r="G45" s="44">
        <v>0</v>
      </c>
      <c r="H45" s="44">
        <f t="shared" si="0"/>
        <v>30</v>
      </c>
    </row>
    <row r="46" spans="1:22" x14ac:dyDescent="0.4">
      <c r="A46" s="44">
        <v>37</v>
      </c>
      <c r="B46" s="44"/>
      <c r="C46" s="44">
        <v>37</v>
      </c>
      <c r="E46" s="44">
        <f t="shared" si="1"/>
        <v>31</v>
      </c>
      <c r="F46" s="44" t="str">
        <f t="shared" si="2"/>
        <v>(株)三菱総合研究所馬術部</v>
      </c>
      <c r="G46" s="44">
        <v>0</v>
      </c>
      <c r="H46" s="44">
        <f t="shared" si="0"/>
        <v>31</v>
      </c>
    </row>
    <row r="47" spans="1:22" x14ac:dyDescent="0.4">
      <c r="A47" s="44">
        <v>38</v>
      </c>
      <c r="B47" s="44"/>
      <c r="C47" s="44">
        <v>38</v>
      </c>
      <c r="E47" s="44">
        <f t="shared" si="1"/>
        <v>32</v>
      </c>
      <c r="F47" s="44" t="str">
        <f t="shared" si="2"/>
        <v>ヤフー乗馬部</v>
      </c>
      <c r="G47" s="44">
        <v>0</v>
      </c>
      <c r="H47" s="44">
        <f t="shared" si="0"/>
        <v>32</v>
      </c>
    </row>
    <row r="48" spans="1:22" x14ac:dyDescent="0.4">
      <c r="A48" s="44">
        <v>39</v>
      </c>
      <c r="B48" s="44"/>
      <c r="C48" s="44">
        <v>39</v>
      </c>
      <c r="E48" s="44" t="str">
        <f t="shared" si="1"/>
        <v/>
      </c>
      <c r="F48" s="44" t="str">
        <f t="shared" si="2"/>
        <v/>
      </c>
      <c r="G48" s="44">
        <v>0</v>
      </c>
      <c r="H48" s="44" t="str">
        <f t="shared" si="0"/>
        <v/>
      </c>
    </row>
    <row r="49" spans="1:8" x14ac:dyDescent="0.4">
      <c r="A49" s="44">
        <v>40</v>
      </c>
      <c r="B49" s="44"/>
      <c r="C49" s="44">
        <v>40</v>
      </c>
      <c r="E49" s="44" t="str">
        <f t="shared" si="1"/>
        <v/>
      </c>
      <c r="F49" s="44" t="str">
        <f t="shared" si="2"/>
        <v/>
      </c>
      <c r="G49" s="44">
        <v>0</v>
      </c>
      <c r="H49" s="44" t="str">
        <f t="shared" si="0"/>
        <v/>
      </c>
    </row>
    <row r="50" spans="1:8" x14ac:dyDescent="0.4">
      <c r="E50" s="44" t="str">
        <f t="shared" si="1"/>
        <v/>
      </c>
      <c r="F50" s="44" t="str">
        <f t="shared" si="2"/>
        <v/>
      </c>
      <c r="G50" s="44">
        <v>0</v>
      </c>
      <c r="H50" s="44" t="str">
        <f t="shared" si="0"/>
        <v/>
      </c>
    </row>
    <row r="51" spans="1:8" x14ac:dyDescent="0.4">
      <c r="E51" s="44" t="str">
        <f t="shared" si="1"/>
        <v/>
      </c>
      <c r="F51" s="44" t="str">
        <f t="shared" si="2"/>
        <v/>
      </c>
      <c r="G51" s="44">
        <v>0</v>
      </c>
      <c r="H51" s="44" t="str">
        <f t="shared" si="0"/>
        <v/>
      </c>
    </row>
  </sheetData>
  <sheetProtection autoFilter="0"/>
  <phoneticPr fontId="4"/>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C000"/>
    <pageSetUpPr fitToPage="1"/>
  </sheetPr>
  <dimension ref="A1:BK55"/>
  <sheetViews>
    <sheetView view="pageBreakPreview" zoomScaleNormal="100" zoomScaleSheetLayoutView="100" workbookViewId="0">
      <selection activeCell="C6" sqref="C6"/>
    </sheetView>
  </sheetViews>
  <sheetFormatPr defaultRowHeight="18.75" x14ac:dyDescent="0.4"/>
  <cols>
    <col min="1" max="1" width="4" customWidth="1"/>
    <col min="2" max="2" width="13.875" customWidth="1"/>
    <col min="3" max="3" width="9" bestFit="1" customWidth="1"/>
    <col min="4" max="4" width="6.625" bestFit="1" customWidth="1"/>
    <col min="5" max="5" width="5" bestFit="1" customWidth="1"/>
    <col min="6" max="6" width="25.5" customWidth="1"/>
    <col min="7" max="7" width="13.875" bestFit="1" customWidth="1"/>
    <col min="8" max="8" width="7.625" customWidth="1"/>
    <col min="9" max="9" width="7.875" customWidth="1"/>
    <col min="10" max="10" width="12" customWidth="1"/>
    <col min="11" max="11" width="20.25" customWidth="1"/>
    <col min="12" max="12" width="21.875" customWidth="1"/>
    <col min="13" max="13" width="8" bestFit="1" customWidth="1"/>
    <col min="14" max="14" width="7.375" bestFit="1" customWidth="1"/>
    <col min="15" max="15" width="7.5" customWidth="1"/>
    <col min="16" max="16" width="8" customWidth="1"/>
    <col min="17" max="17" width="21.875" customWidth="1"/>
    <col min="19" max="19" width="5.25" customWidth="1"/>
    <col min="20" max="20" width="10.625" customWidth="1"/>
    <col min="21" max="21" width="11.625" customWidth="1"/>
    <col min="22" max="22" width="16" customWidth="1"/>
    <col min="23" max="23" width="5.25" customWidth="1"/>
    <col min="24" max="24" width="7.125" customWidth="1"/>
    <col min="25" max="34" width="13.625" customWidth="1"/>
    <col min="35" max="35" width="8.375" customWidth="1"/>
    <col min="36" max="36" width="7.875" customWidth="1"/>
    <col min="37" max="37" width="6.125" customWidth="1"/>
    <col min="38" max="40" width="5.25" customWidth="1"/>
    <col min="41" max="57" width="9" customWidth="1"/>
    <col min="58" max="58" width="5.125" customWidth="1"/>
    <col min="59" max="59" width="9" customWidth="1"/>
    <col min="60" max="61" width="5.125" customWidth="1"/>
    <col min="62" max="64" width="9" customWidth="1"/>
  </cols>
  <sheetData>
    <row r="1" spans="1:63" ht="24" x14ac:dyDescent="0.4">
      <c r="A1" s="594" t="str">
        <f>お知らせ・記入要領!$A$1</f>
        <v>第44回 キャロットステークス 申込書</v>
      </c>
      <c r="B1" s="594"/>
      <c r="C1" s="594"/>
      <c r="D1" s="594"/>
      <c r="E1" s="594"/>
      <c r="F1" s="594"/>
      <c r="G1" s="594"/>
      <c r="H1" s="594"/>
      <c r="I1" s="594"/>
      <c r="J1" s="594"/>
      <c r="K1" s="594"/>
      <c r="L1" s="594"/>
      <c r="M1" s="594"/>
      <c r="N1" s="594"/>
      <c r="O1" s="594"/>
      <c r="P1" s="594"/>
      <c r="Q1" s="595"/>
    </row>
    <row r="2" spans="1:63" x14ac:dyDescent="0.4">
      <c r="A2" s="603" t="s">
        <v>277</v>
      </c>
      <c r="B2" s="603"/>
      <c r="C2" s="603"/>
      <c r="D2" s="603"/>
      <c r="E2" s="603"/>
      <c r="F2" s="603"/>
      <c r="G2" s="603"/>
      <c r="H2" s="603"/>
      <c r="I2" s="603"/>
      <c r="J2" s="603"/>
      <c r="K2" s="603"/>
      <c r="L2" s="603"/>
      <c r="M2" s="603"/>
      <c r="N2" s="603"/>
      <c r="O2" s="603"/>
      <c r="P2" s="603"/>
      <c r="Q2" s="603"/>
      <c r="Z2" s="24"/>
    </row>
    <row r="3" spans="1:63" ht="24" customHeight="1" x14ac:dyDescent="0.4">
      <c r="A3" s="532" t="str">
        <f>"団体名：" &amp; 団体登録!B7</f>
        <v>団体名：</v>
      </c>
      <c r="B3" s="532"/>
      <c r="C3" s="532"/>
      <c r="D3" s="532"/>
      <c r="E3" s="532"/>
      <c r="F3" s="532"/>
      <c r="M3" s="89"/>
      <c r="N3" s="89"/>
      <c r="O3" s="90"/>
      <c r="P3" s="86" t="s">
        <v>98</v>
      </c>
      <c r="Q3" s="87"/>
      <c r="Z3" s="24"/>
    </row>
    <row r="4" spans="1:63" ht="6.75" customHeight="1" x14ac:dyDescent="0.4"/>
    <row r="5" spans="1:63" ht="18.75" customHeight="1" x14ac:dyDescent="0.4">
      <c r="A5" t="s">
        <v>206</v>
      </c>
      <c r="Q5" s="111" t="str">
        <f>IF(AND(Q3&lt;&gt;"",Q3&gt;マスタ!C12), "※ 変更受付期間後の変更は、打ち合わせ会で受け付けます。", "")</f>
        <v/>
      </c>
      <c r="T5" s="110"/>
    </row>
    <row r="6" spans="1:63" ht="17.25" customHeight="1" x14ac:dyDescent="0.4">
      <c r="A6" t="s">
        <v>270</v>
      </c>
      <c r="Y6" t="s">
        <v>244</v>
      </c>
    </row>
    <row r="7" spans="1:63" s="24" customFormat="1" x14ac:dyDescent="0.4">
      <c r="A7" s="24" t="s">
        <v>174</v>
      </c>
      <c r="Y7" s="72" t="s">
        <v>179</v>
      </c>
      <c r="Z7" s="63" t="s">
        <v>303</v>
      </c>
      <c r="AA7" s="64"/>
      <c r="AB7" s="75" t="s">
        <v>182</v>
      </c>
      <c r="AC7" s="69" t="s">
        <v>177</v>
      </c>
      <c r="AD7" s="64"/>
      <c r="AE7" s="72" t="s">
        <v>212</v>
      </c>
      <c r="AF7" s="63" t="s">
        <v>213</v>
      </c>
      <c r="AG7" s="64"/>
    </row>
    <row r="8" spans="1:63" s="24" customFormat="1" ht="19.5" x14ac:dyDescent="0.4">
      <c r="A8" s="24" t="str">
        <f>"※2 エントリー締め切り後の変更は1件につき、"&amp;マスタ!C16&amp;"円の手数料がかかります。"</f>
        <v>※2 エントリー締め切り後の変更は1件につき、0円の手数料がかかります。</v>
      </c>
      <c r="M8" s="88" t="s">
        <v>285</v>
      </c>
      <c r="P8" s="49">
        <f>IF(SUM($N15:$N54)&lt;0,0,SUM($N15:$N54))</f>
        <v>0</v>
      </c>
      <c r="Y8" s="73" t="s">
        <v>180</v>
      </c>
      <c r="Z8" s="70" t="e">
        <f>ADDRESS(ROW(選手登録!#REF!),COLUMN(選手登録!#REF!),1,1,"選手登録") &amp;":"&amp;ADDRESS(ROW(選手登録!#REF!)+選手登録!#REF!,COLUMN(選手登録!#REF!),1,1)</f>
        <v>#REF!</v>
      </c>
      <c r="AA8" s="66"/>
      <c r="AB8" s="28" t="s">
        <v>183</v>
      </c>
      <c r="AC8" s="70" t="s">
        <v>178</v>
      </c>
      <c r="AD8" s="66"/>
      <c r="AE8" s="73"/>
      <c r="AF8" s="65"/>
      <c r="AG8" s="66"/>
    </row>
    <row r="9" spans="1:63" s="24" customFormat="1" ht="19.5" x14ac:dyDescent="0.4">
      <c r="A9" s="24" t="s">
        <v>170</v>
      </c>
      <c r="M9" s="88" t="s">
        <v>286</v>
      </c>
      <c r="P9" s="49">
        <f>SUM($P15:$P54)</f>
        <v>0</v>
      </c>
      <c r="Y9" s="73" t="s">
        <v>181</v>
      </c>
      <c r="Z9" s="70" t="e">
        <f>ADDRESS(ROW(馬匹登録!#REF!),COLUMN(馬匹登録!#REF!),1,1,"馬匹登録") &amp;":"&amp;ADDRESS(ROW(馬匹登録!#REF!)+馬匹登録!#REF!,COLUMN(馬匹登録!#REF!),1,1)</f>
        <v>#REF!</v>
      </c>
      <c r="AA9" s="66"/>
      <c r="AB9" s="76" t="s">
        <v>193</v>
      </c>
      <c r="AC9" s="70" t="s">
        <v>194</v>
      </c>
      <c r="AD9" s="66"/>
      <c r="AE9" s="73"/>
      <c r="AF9" s="65"/>
      <c r="AG9" s="66"/>
    </row>
    <row r="10" spans="1:63" s="24" customFormat="1" ht="19.5" x14ac:dyDescent="0.4">
      <c r="A10" s="24" t="s">
        <v>171</v>
      </c>
      <c r="M10" s="62" t="s">
        <v>203</v>
      </c>
      <c r="N10" s="62"/>
      <c r="O10" s="62"/>
      <c r="P10" s="62">
        <f>SUM(P8:P9)</f>
        <v>0</v>
      </c>
      <c r="Q10" s="88"/>
      <c r="Y10" s="74" t="s">
        <v>176</v>
      </c>
      <c r="Z10" s="67" t="s">
        <v>204</v>
      </c>
      <c r="AA10" s="68"/>
      <c r="AB10" s="77" t="s">
        <v>200</v>
      </c>
      <c r="AC10" s="71" t="s">
        <v>201</v>
      </c>
      <c r="AD10" s="68"/>
      <c r="AE10" s="74"/>
      <c r="AF10" s="67"/>
      <c r="AG10" s="68"/>
    </row>
    <row r="11" spans="1:63" ht="21.75" customHeight="1" thickBot="1" x14ac:dyDescent="0.45">
      <c r="A11" t="s">
        <v>237</v>
      </c>
    </row>
    <row r="12" spans="1:63" s="46" customFormat="1" ht="24" customHeight="1" x14ac:dyDescent="0.4">
      <c r="A12" s="419"/>
      <c r="B12" s="600" t="s">
        <v>306</v>
      </c>
      <c r="C12" s="600" t="s">
        <v>165</v>
      </c>
      <c r="D12" s="418"/>
      <c r="E12" s="421" t="s">
        <v>173</v>
      </c>
      <c r="F12" s="418" t="s">
        <v>152</v>
      </c>
      <c r="G12" s="418" t="s">
        <v>247</v>
      </c>
      <c r="H12" s="418"/>
      <c r="I12" s="418"/>
      <c r="J12" s="418"/>
      <c r="K12" s="418"/>
      <c r="L12" s="53" t="s">
        <v>249</v>
      </c>
      <c r="M12" s="417" t="s">
        <v>163</v>
      </c>
      <c r="N12" s="418" t="s">
        <v>127</v>
      </c>
      <c r="O12" s="418" t="s">
        <v>287</v>
      </c>
      <c r="P12" s="418" t="s">
        <v>161</v>
      </c>
      <c r="Q12" s="609" t="s">
        <v>175</v>
      </c>
      <c r="S12" s="46" t="s">
        <v>243</v>
      </c>
      <c r="AK12" s="46" t="s">
        <v>242</v>
      </c>
      <c r="AL12" s="52"/>
      <c r="AM12" s="52"/>
      <c r="AN12" s="52"/>
      <c r="AO12" s="52"/>
    </row>
    <row r="13" spans="1:63" s="46" customFormat="1" x14ac:dyDescent="0.4">
      <c r="A13" s="598"/>
      <c r="B13" s="601"/>
      <c r="C13" s="601"/>
      <c r="D13" s="596"/>
      <c r="E13" s="607"/>
      <c r="F13" s="596"/>
      <c r="G13" s="60" t="s">
        <v>248</v>
      </c>
      <c r="H13" s="60" t="s">
        <v>214</v>
      </c>
      <c r="I13" s="60" t="s">
        <v>215</v>
      </c>
      <c r="J13" s="60" t="s">
        <v>51</v>
      </c>
      <c r="K13" s="60" t="s">
        <v>195</v>
      </c>
      <c r="L13" s="61" t="s">
        <v>35</v>
      </c>
      <c r="M13" s="612"/>
      <c r="N13" s="596"/>
      <c r="O13" s="596"/>
      <c r="P13" s="596"/>
      <c r="Q13" s="610"/>
      <c r="S13" s="26"/>
      <c r="T13" s="604" t="s">
        <v>190</v>
      </c>
      <c r="U13" s="604" t="s">
        <v>185</v>
      </c>
      <c r="V13" s="605" t="s">
        <v>184</v>
      </c>
      <c r="W13" s="604" t="s">
        <v>202</v>
      </c>
      <c r="X13" s="604" t="s">
        <v>186</v>
      </c>
      <c r="Y13" s="604" t="s">
        <v>188</v>
      </c>
      <c r="Z13" s="604" t="s">
        <v>189</v>
      </c>
      <c r="AA13" s="604" t="s">
        <v>191</v>
      </c>
      <c r="AB13" s="605" t="s">
        <v>193</v>
      </c>
      <c r="AC13" s="604" t="s">
        <v>192</v>
      </c>
      <c r="AD13" s="605" t="s">
        <v>195</v>
      </c>
      <c r="AE13" s="604" t="s">
        <v>196</v>
      </c>
      <c r="AF13" s="605" t="s">
        <v>197</v>
      </c>
      <c r="AG13" s="604" t="s">
        <v>198</v>
      </c>
      <c r="AH13" s="605" t="s">
        <v>199</v>
      </c>
      <c r="AI13" s="26"/>
      <c r="AK13" s="604" t="s">
        <v>207</v>
      </c>
      <c r="AL13" s="604" t="s">
        <v>151</v>
      </c>
      <c r="AM13" s="604" t="s">
        <v>44</v>
      </c>
      <c r="AN13" s="604" t="s">
        <v>45</v>
      </c>
      <c r="AO13" s="604" t="s">
        <v>163</v>
      </c>
      <c r="AP13" s="26" t="s">
        <v>208</v>
      </c>
      <c r="AQ13" s="26"/>
      <c r="AR13" s="26" t="s">
        <v>210</v>
      </c>
      <c r="AS13" s="26" t="s">
        <v>211</v>
      </c>
      <c r="AT13" s="26"/>
      <c r="AU13" s="26"/>
      <c r="AV13" s="26"/>
      <c r="AW13" s="26"/>
      <c r="AX13" s="26"/>
      <c r="AY13" s="26"/>
      <c r="BA13" s="26" t="s">
        <v>208</v>
      </c>
      <c r="BB13" s="26"/>
      <c r="BC13" s="26"/>
      <c r="BD13" s="26"/>
      <c r="BE13" s="26"/>
      <c r="BG13" s="26" t="s">
        <v>208</v>
      </c>
      <c r="BH13" s="26"/>
      <c r="BI13" s="26"/>
      <c r="BJ13" s="26"/>
      <c r="BK13" s="26"/>
    </row>
    <row r="14" spans="1:63" s="46" customFormat="1" ht="20.25" customHeight="1" x14ac:dyDescent="0.4">
      <c r="A14" s="599"/>
      <c r="B14" s="602"/>
      <c r="C14" s="602"/>
      <c r="D14" s="597"/>
      <c r="E14" s="608"/>
      <c r="F14" s="597"/>
      <c r="G14" s="54" t="s">
        <v>279</v>
      </c>
      <c r="H14" s="78" t="s">
        <v>27</v>
      </c>
      <c r="I14" s="78" t="s">
        <v>28</v>
      </c>
      <c r="J14" s="84" t="s">
        <v>269</v>
      </c>
      <c r="K14" s="78" t="s">
        <v>278</v>
      </c>
      <c r="L14" s="78" t="s">
        <v>33</v>
      </c>
      <c r="M14" s="597"/>
      <c r="N14" s="597"/>
      <c r="O14" s="597"/>
      <c r="P14" s="597"/>
      <c r="Q14" s="611"/>
      <c r="S14" s="26" t="s">
        <v>172</v>
      </c>
      <c r="T14" s="605"/>
      <c r="U14" s="605"/>
      <c r="V14" s="605"/>
      <c r="W14" s="605"/>
      <c r="X14" s="605"/>
      <c r="Y14" s="605"/>
      <c r="Z14" s="605"/>
      <c r="AA14" s="605"/>
      <c r="AB14" s="605"/>
      <c r="AC14" s="605"/>
      <c r="AD14" s="605"/>
      <c r="AE14" s="605"/>
      <c r="AF14" s="605"/>
      <c r="AG14" s="605"/>
      <c r="AH14" s="605"/>
      <c r="AI14" s="106" t="s">
        <v>187</v>
      </c>
      <c r="AJ14" s="52"/>
      <c r="AK14" s="605"/>
      <c r="AL14" s="604"/>
      <c r="AM14" s="604"/>
      <c r="AN14" s="604"/>
      <c r="AO14" s="604"/>
      <c r="AP14" s="26" t="s">
        <v>240</v>
      </c>
      <c r="AQ14" s="26" t="s">
        <v>241</v>
      </c>
      <c r="AR14" s="26" t="s">
        <v>238</v>
      </c>
      <c r="AS14" s="26" t="s">
        <v>239</v>
      </c>
      <c r="AT14" s="26" t="s">
        <v>209</v>
      </c>
      <c r="AU14" s="26" t="s">
        <v>219</v>
      </c>
      <c r="AV14" s="26" t="s">
        <v>288</v>
      </c>
      <c r="AW14" s="26" t="s">
        <v>205</v>
      </c>
      <c r="AX14" s="26" t="s">
        <v>289</v>
      </c>
      <c r="AY14" s="26" t="s">
        <v>220</v>
      </c>
      <c r="BA14" s="26" t="s">
        <v>221</v>
      </c>
      <c r="BB14" s="26"/>
      <c r="BC14" s="26" t="s">
        <v>222</v>
      </c>
      <c r="BD14" s="26">
        <f>MAX(BA15:BA54)</f>
        <v>0</v>
      </c>
      <c r="BE14" s="26" t="s">
        <v>222</v>
      </c>
      <c r="BG14" s="26" t="s">
        <v>257</v>
      </c>
      <c r="BH14" s="26" t="s">
        <v>223</v>
      </c>
      <c r="BI14" s="26"/>
      <c r="BJ14" s="26">
        <f>MAX(BG15:BG54)</f>
        <v>0</v>
      </c>
      <c r="BK14" s="26"/>
    </row>
    <row r="15" spans="1:63" ht="22.5" customHeight="1" x14ac:dyDescent="0.4">
      <c r="A15" s="585">
        <v>1</v>
      </c>
      <c r="B15" s="591"/>
      <c r="C15" s="587"/>
      <c r="D15" s="95" t="str">
        <f>IF(OR(S15=2),"変更前","")</f>
        <v/>
      </c>
      <c r="E15" s="55"/>
      <c r="F15" s="98"/>
      <c r="G15" s="98"/>
      <c r="H15" s="98"/>
      <c r="I15" s="98"/>
      <c r="J15" s="98"/>
      <c r="K15" s="98"/>
      <c r="L15" s="98"/>
      <c r="M15" s="101"/>
      <c r="N15" s="85" t="str">
        <f>IF(AND(W15&lt;&gt;"",M15&lt;&gt;"",OR(S15=1,S15=2,S15=3)),IFERROR(VLOOKUP(W15,競技一覧!#REF!,3+VLOOKUP(M15,リスト!$J$2:$K$5,2,FALSE),FALSE) * IF(S15=1,1,-1),""),IF(S15=5,マスタ!$C$15,IF(S15=6,-1*マスタ!$C$15,"")))</f>
        <v/>
      </c>
      <c r="O15" s="606" t="str">
        <f>IF($C15&lt;&gt;"",IFERROR(VALUE(N16),0)+IFERROR(VALUE(N15),0),"")</f>
        <v/>
      </c>
      <c r="P15" s="5" t="str">
        <f>IF(OR($S15=1,$S15=2,$S15=3),マスタ!$C$16,IF($C15&lt;&gt;"",0,""))</f>
        <v/>
      </c>
      <c r="Q15" s="91"/>
      <c r="S15" s="44" t="str">
        <f>IF(C15&lt;&gt;"",VLOOKUP(C15,リスト!$R$2:$S$9,2,FALSE),"")</f>
        <v/>
      </c>
      <c r="T15" s="44" t="str">
        <f>IF(OR(S15=2,S15=3),$AC$7,$Z$10)</f>
        <v>W10</v>
      </c>
      <c r="U15" s="44" t="str">
        <f ca="1">IF(OR(S15=2,S15=3),CELL("address",V15),IF(S15=1,$Z$7,$Z$10))</f>
        <v>W10</v>
      </c>
      <c r="V15" s="44" t="str">
        <f>IF(AND(OR(S15=2, S15=3),E15&lt;&gt;"",E15&lt;&gt;"-"),VLOOKUP(E15,エントリー!$A$8:$H$87,6,TRUE),"-")</f>
        <v>-</v>
      </c>
      <c r="W15" s="44" t="str">
        <f>IF(AND(F15&lt;&gt;"",F15&lt;&gt;"-"),VLOOKUP(F15,競技一覧!#REF!,5,FALSE),"")</f>
        <v/>
      </c>
      <c r="X15" s="44" t="str">
        <f ca="1">IF(OR(S15=2,S15=3),CELL("address",Y15),IF(OR(S15=4),CELL("address",Z15),IF(S15=1,$Z$8,$Z$10)))</f>
        <v>W10</v>
      </c>
      <c r="Y15" s="44" t="str">
        <f>IF(AND(E15&lt;&gt;"",E15&lt;&gt;"-"),VLOOKUP(E15,エントリー!$A$8:$H$87,7,TRUE),"-")</f>
        <v>-</v>
      </c>
      <c r="Z15" s="44" t="str">
        <f>IF(S15=4,H15 &amp; " " &amp; I15,"")</f>
        <v/>
      </c>
      <c r="AA15" s="44" t="str">
        <f ca="1">IF(S15=4,$AC$9,IF(OR(S15=1,S15=2,S15=3),CELL("address",AB15),$Z$10))</f>
        <v>W10</v>
      </c>
      <c r="AB15" s="44" t="str">
        <f>IF(AND(G15&lt;&gt;"",G15&lt;&gt;"-",OR(S15=1,S15=2,S15=3)),VLOOKUP(G15,選手登録!$N$8:$V$32,2,FALSE),"-")</f>
        <v>-</v>
      </c>
      <c r="AC15" s="44" t="str">
        <f ca="1">IF(OR(S15=1,S15=2,S15=3),CELL("address",AD15),IF(OR(S15=4),$AC$10,$Z$10))</f>
        <v>W10</v>
      </c>
      <c r="AD15" s="44" t="str">
        <f>IF(AND(G15&lt;&gt;"",G15&lt;&gt;"-",OR(S15=1,S15=2,S15=3)),VLOOKUP(G15,選手登録!$N$8:$V$32,3,FALSE),"-")</f>
        <v>-</v>
      </c>
      <c r="AE15" s="44" t="str">
        <f ca="1">IF(OR(S15=2,S15=3),CELL("address",AF15),IF(OR(S15=1,S15=6),$Z$9,IF(S15=5,"",$Z$10)))</f>
        <v>W10</v>
      </c>
      <c r="AF15" s="44" t="str">
        <f>IF(AND(E15&lt;&gt;"",E15&lt;&gt;"-",OR(S15=2,S15=3)),VLOOKUP(E15,エントリー!$A$8:$H$87,8,TRUE),$Z$10)</f>
        <v>W10</v>
      </c>
      <c r="AG15" s="44" t="str">
        <f ca="1">IF(OR(S15=2,S15=3),CELL("address",AH15),IF(S15=1,VLOOKUP(W15,競技一覧!#REF!,8,TRUE),$Z$10))</f>
        <v>W10</v>
      </c>
      <c r="AH15" s="44" t="str">
        <f>IF(AND(OR(S15=2,S15=3),E15&lt;&gt;"",E15&lt;&gt;"-"),VLOOKUP(E15,エントリー!$A$8:$G$87,10,TRUE),$Y$10)</f>
        <v>-</v>
      </c>
      <c r="AI15" s="44" t="str">
        <f>IF(G15&lt;&gt;"",G15,IF(Z15&lt;&gt;"",Z15,""))</f>
        <v/>
      </c>
      <c r="AK15" s="44" t="str">
        <f>S15</f>
        <v/>
      </c>
      <c r="AL15" s="44" t="str">
        <f>W15</f>
        <v/>
      </c>
      <c r="AM15" s="44" t="str">
        <f>IF(G15&lt;&gt;"",IFERROR(VLOOKUP(AI15,選手登録!$N$8:$P$57,4,FALSE),""),"")</f>
        <v/>
      </c>
      <c r="AN15" s="44" t="str">
        <f>IF(L15&lt;&gt;"",IFERROR(VLOOKUP(L15,馬匹登録!$B$8:$I$57,6,FALSE),""),"")</f>
        <v/>
      </c>
      <c r="AO15" s="44" t="str">
        <f>IFERROR(VLOOKUP(M15,リスト!$J$2:$K$5,2,FALSE),"")</f>
        <v/>
      </c>
      <c r="AP15" s="44" t="str">
        <f>IF($S15=4,H15,"")</f>
        <v/>
      </c>
      <c r="AQ15" s="44" t="str">
        <f>IF($S15=4,I15,"")</f>
        <v/>
      </c>
      <c r="AR15" s="44" t="str">
        <f>IF($S15=4,J15,"")</f>
        <v/>
      </c>
      <c r="AS15" s="44" t="str">
        <f>IF(OR($S15=4,$S15=5),K15,"")</f>
        <v/>
      </c>
      <c r="AT15" s="44" t="str">
        <f>IF($S15=5,L15,"")</f>
        <v/>
      </c>
      <c r="AU15" s="44" t="str">
        <f>N15</f>
        <v/>
      </c>
      <c r="AV15" s="44" t="str">
        <f>O15</f>
        <v/>
      </c>
      <c r="AW15" s="44" t="str">
        <f>P15</f>
        <v/>
      </c>
      <c r="AX15" s="44" t="str">
        <f>IF(Q15&lt;&gt;"",Q15,"")</f>
        <v/>
      </c>
      <c r="AY15" s="44">
        <f>P8</f>
        <v>0</v>
      </c>
      <c r="BA15" s="44">
        <f>IF(Z15&lt;&gt;"",1,0)</f>
        <v>0</v>
      </c>
      <c r="BB15" s="44" t="str">
        <f>IF(Z15&lt;&gt;"",Z15,"")</f>
        <v/>
      </c>
      <c r="BC15" s="44">
        <f>A15</f>
        <v>1</v>
      </c>
      <c r="BD15" s="44" t="str">
        <f>IFERROR(VLOOKUP(ROW(BD15)-ROW($BD$15)+1,$BA$15:$BB$54,2,FALSE),"")</f>
        <v/>
      </c>
      <c r="BE15" s="44" t="str">
        <f>IFERROR(VLOOKUP(ROW(BE15)-ROW($BD$15)+1,$BA$15:$BC$54,3,FALSE),"")</f>
        <v/>
      </c>
      <c r="BG15" s="44">
        <f>IF(BH15&lt;&gt;"",1,0)</f>
        <v>0</v>
      </c>
      <c r="BH15" s="44" t="str">
        <f>IF(AND($S15=5,$L15&lt;&gt;""),$L15,"")</f>
        <v/>
      </c>
      <c r="BI15" s="44">
        <f>A15</f>
        <v>1</v>
      </c>
      <c r="BJ15" s="44" t="str">
        <f>IFERROR(VLOOKUP(ROW(BJ15)-ROW($BJ$15)+1,$BG$15:$BH$54,2,FALSE),"")</f>
        <v/>
      </c>
      <c r="BK15" s="44" t="str">
        <f>IFERROR(VLOOKUP(ROW(BK15)-ROW($BK$15)+1,$BG$15:$BI$54,3,FALSE),"")</f>
        <v/>
      </c>
    </row>
    <row r="16" spans="1:63" ht="22.5" customHeight="1" x14ac:dyDescent="0.4">
      <c r="A16" s="590"/>
      <c r="B16" s="592"/>
      <c r="C16" s="589"/>
      <c r="D16" s="96" t="str">
        <f>IF(OR(S15=2),"変更後","")</f>
        <v/>
      </c>
      <c r="E16" s="56"/>
      <c r="F16" s="99"/>
      <c r="G16" s="99"/>
      <c r="H16" s="99"/>
      <c r="I16" s="99"/>
      <c r="J16" s="99"/>
      <c r="K16" s="99"/>
      <c r="L16" s="99"/>
      <c r="M16" s="102"/>
      <c r="N16" s="54" t="str">
        <f>IF(AND(W16&lt;&gt;"",M16&lt;&gt;"",S15=2),IFERROR(VLOOKUP(W16,競技一覧!#REF!,3+VLOOKUP(M16,リスト!$J$2:$K$5,2,FALSE),FALSE),""),"")</f>
        <v/>
      </c>
      <c r="O16" s="597"/>
      <c r="P16" s="7" t="s">
        <v>162</v>
      </c>
      <c r="Q16" s="92"/>
      <c r="S16" s="44" t="str">
        <f>S15</f>
        <v/>
      </c>
      <c r="T16" s="44" t="str">
        <f>$Z$10</f>
        <v>W10</v>
      </c>
      <c r="U16" s="44" t="str">
        <f>IF(S15=2,$Z$7,$Z$10)</f>
        <v>W10</v>
      </c>
      <c r="V16" s="44"/>
      <c r="W16" s="44" t="str">
        <f>IF(AND(F16&lt;&gt;"",F16&lt;&gt;"-"),VLOOKUP(F16,競技一覧!#REF!,5,FALSE),"")</f>
        <v/>
      </c>
      <c r="X16" s="44" t="str">
        <f>IF(OR(S16=2),$Z$8,$Z$10)</f>
        <v>W10</v>
      </c>
      <c r="Y16" s="44"/>
      <c r="Z16" s="44"/>
      <c r="AA16" s="44" t="str">
        <f>IF(S16=2,$AC$9,IF(S16=4,$AF$7,$Z$10))</f>
        <v>W10</v>
      </c>
      <c r="AB16" s="44" t="str">
        <f>IF(AND(G16&lt;&gt;"",G16&lt;&gt;"-",S16=2),VLOOKUP(G16,選手登録!$N$8:$V$32,2,FALSE),"-")</f>
        <v>-</v>
      </c>
      <c r="AC16" s="44" t="str">
        <f ca="1">IF(OR(S16=2),CELL("address",AD16),IF(OR(S16=4,S16=5),"",$Z$10))</f>
        <v>W10</v>
      </c>
      <c r="AD16" s="44" t="str">
        <f>IF(AND(G16&lt;&gt;"",G16&lt;&gt;"-",S16=2),VLOOKUP(G16,選手登録!$N$8:$V$32,3,FALSE),"-")</f>
        <v>-</v>
      </c>
      <c r="AE16" s="44" t="str">
        <f>IF(OR(S16=2),$Z$9,IF(S16=5,"",$Z$10))</f>
        <v>W10</v>
      </c>
      <c r="AF16" s="44" t="str">
        <f>IF(AND(E16&lt;&gt;"",E16&lt;&gt;"-",OR(S16=2,S16=3)),VLOOKUP(E16,エントリー!$A$8:$H$87,8,TRUE),$Z$10)</f>
        <v>W10</v>
      </c>
      <c r="AG16" s="44" t="str">
        <f>IF(S16=2,VLOOKUP(W16,競技一覧!#REF!,8,TRUE),$Z$10)</f>
        <v>W10</v>
      </c>
      <c r="AH16" s="44"/>
      <c r="AI16" s="44"/>
      <c r="AK16" s="44" t="str">
        <f t="shared" ref="AK16:AK34" si="0">S16</f>
        <v/>
      </c>
      <c r="AL16" s="44" t="str">
        <f t="shared" ref="AL16:AL34" si="1">W16</f>
        <v/>
      </c>
      <c r="AM16" s="44" t="str">
        <f>IF(G16&lt;&gt;"",IFERROR(VLOOKUP(AI16,選手登録!$N$8:$P$57,4,FALSE),""),"")</f>
        <v/>
      </c>
      <c r="AN16" s="44" t="str">
        <f>IF(L16&lt;&gt;"",IFERROR(VLOOKUP(L16,馬匹登録!$B$8:$I$57,6,FALSE),""),"")</f>
        <v/>
      </c>
      <c r="AO16" s="44" t="str">
        <f>IFERROR(VLOOKUP(M16,リスト!$J$2:$K$5,2,FALSE),"")</f>
        <v/>
      </c>
      <c r="AP16" s="44" t="str">
        <f t="shared" ref="AP16:AP34" si="2">IF($S16=4,H16,"")</f>
        <v/>
      </c>
      <c r="AQ16" s="44" t="str">
        <f t="shared" ref="AQ16:AQ35" si="3">IF($S16=4,I16,"")</f>
        <v/>
      </c>
      <c r="AR16" s="44" t="str">
        <f t="shared" ref="AR16:AR35" si="4">IF($S16=4,J16,"")</f>
        <v/>
      </c>
      <c r="AS16" s="44" t="str">
        <f t="shared" ref="AS16:AS34" si="5">IF(OR($S16=4,$S16=5),K16,"")</f>
        <v/>
      </c>
      <c r="AT16" s="44" t="str">
        <f t="shared" ref="AT16:AT34" si="6">IF($S16=5,L16,"")</f>
        <v/>
      </c>
      <c r="AU16" s="44" t="str">
        <f t="shared" ref="AU16:AU34" si="7">N16</f>
        <v/>
      </c>
      <c r="AV16" s="44">
        <f t="shared" ref="AV16:AV35" si="8">O16</f>
        <v>0</v>
      </c>
      <c r="AW16" s="44" t="str">
        <f t="shared" ref="AW16:AW35" si="9">P16</f>
        <v>-</v>
      </c>
      <c r="AX16" s="44" t="str">
        <f t="shared" ref="AX16:AX54" si="10">IF(Q16&lt;&gt;"",Q16,"")</f>
        <v/>
      </c>
      <c r="AY16" s="44">
        <f t="shared" ref="AY16:AY17" si="11">P9</f>
        <v>0</v>
      </c>
      <c r="BA16" s="44">
        <f>IF(Z16&lt;&gt;"",BA15+1,BA15)</f>
        <v>0</v>
      </c>
      <c r="BB16" s="44" t="str">
        <f t="shared" ref="BB16:BB54" si="12">IF(Z16&lt;&gt;"",Z16,"")</f>
        <v/>
      </c>
      <c r="BC16" s="44">
        <f t="shared" ref="BC16:BC54" si="13">A16</f>
        <v>0</v>
      </c>
      <c r="BD16" s="44" t="str">
        <f t="shared" ref="BD16:BD54" si="14">IFERROR(VLOOKUP(ROW(BD16)-ROW($BD$15)+1,$BA$15:$BB$54,2,FALSE),"")</f>
        <v/>
      </c>
      <c r="BE16" s="44" t="str">
        <f t="shared" ref="BE16:BE54" si="15">IFERROR(VLOOKUP(ROW(BE16)-ROW($BD$15)+1,$BA$15:$BC$54,3,FALSE),"")</f>
        <v/>
      </c>
      <c r="BG16" s="44">
        <f>IF(BH16&lt;&gt;"",BG15+1,BG15)</f>
        <v>0</v>
      </c>
      <c r="BH16" s="44"/>
      <c r="BI16" s="44">
        <f t="shared" ref="BI16:BI54" si="16">A16</f>
        <v>0</v>
      </c>
      <c r="BJ16" s="44" t="str">
        <f t="shared" ref="BJ16:BJ54" si="17">IFERROR(VLOOKUP(ROW(BJ16)-ROW($BJ$15)+1,$BG$15:$BH$54,2,FALSE),"")</f>
        <v/>
      </c>
      <c r="BK16" s="44" t="str">
        <f t="shared" ref="BK16:BK54" si="18">IFERROR(VLOOKUP(ROW(BK16)-ROW($BK$15)+1,$BG$15:$BI$54,3,FALSE),"")</f>
        <v/>
      </c>
    </row>
    <row r="17" spans="1:63" ht="22.5" customHeight="1" x14ac:dyDescent="0.4">
      <c r="A17" s="585">
        <v>2</v>
      </c>
      <c r="B17" s="591"/>
      <c r="C17" s="587"/>
      <c r="D17" s="95" t="str">
        <f>IF(OR(S17=2),"変更前","")</f>
        <v/>
      </c>
      <c r="E17" s="55"/>
      <c r="F17" s="98"/>
      <c r="G17" s="98"/>
      <c r="H17" s="98"/>
      <c r="I17" s="98"/>
      <c r="J17" s="98"/>
      <c r="K17" s="98"/>
      <c r="L17" s="98" t="s">
        <v>307</v>
      </c>
      <c r="M17" s="101"/>
      <c r="N17" s="85" t="str">
        <f>IF(AND(W17&lt;&gt;"",M17&lt;&gt;"",OR(S17=1,S17=2,S17=3)),IFERROR(VLOOKUP(W17,競技一覧!#REF!,3+VLOOKUP(M17,リスト!$J$2:$K$5,2,FALSE),FALSE) * IF(S17=1,1,-1),""),IF(S17=5,マスタ!$C$15,IF(S17=6,-1*マスタ!$C$15,"")))</f>
        <v/>
      </c>
      <c r="O17" s="606" t="str">
        <f>IF($C17&lt;&gt;"",IFERROR(VALUE(N18),0)+IFERROR(VALUE(N17),0),"")</f>
        <v/>
      </c>
      <c r="P17" s="5" t="str">
        <f>IF(OR($S17=1,$S17=2,$S17=3),マスタ!$C$16,IF($C17&lt;&gt;"",0,""))</f>
        <v/>
      </c>
      <c r="Q17" s="91"/>
      <c r="S17" s="44" t="str">
        <f>IF(C17&lt;&gt;"",VLOOKUP(C17,リスト!$R$2:$S$9,2,FALSE),"")</f>
        <v/>
      </c>
      <c r="T17" s="44" t="str">
        <f>IF(OR(S17=2,S17=3),$AC$7,$Z$10)</f>
        <v>W10</v>
      </c>
      <c r="U17" s="44" t="str">
        <f ca="1">IF(OR(S17=2,S17=3),CELL("address",V17),IF(S17=1,$Z$7,$Z$10))</f>
        <v>W10</v>
      </c>
      <c r="V17" s="44" t="str">
        <f>IF(AND(OR(S17=2, S17=3),E17&lt;&gt;"",E17&lt;&gt;"-"),VLOOKUP(E17,エントリー!$A$8:$H$87,6,TRUE),"-")</f>
        <v>-</v>
      </c>
      <c r="W17" s="44" t="str">
        <f>IF(AND(F17&lt;&gt;"",F17&lt;&gt;"-"),VLOOKUP(F17,競技一覧!#REF!,5,FALSE),"")</f>
        <v/>
      </c>
      <c r="X17" s="44" t="str">
        <f ca="1">IF(OR(S17=2,S17=3),CELL("address",Y17),IF(OR(S17=4),CELL("address",Z17),IF(S17=1,$Z$8,$Z$10)))</f>
        <v>W10</v>
      </c>
      <c r="Y17" s="44" t="str">
        <f>IF(AND(E17&lt;&gt;"",E17&lt;&gt;"-"),VLOOKUP(E17,エントリー!$A$8:$H$87,7,TRUE),"-")</f>
        <v>-</v>
      </c>
      <c r="Z17" s="44" t="str">
        <f>IF(S17=4,H17 &amp; " " &amp; I17,"")</f>
        <v/>
      </c>
      <c r="AA17" s="44" t="str">
        <f ca="1">IF(S17=4,$AC$9,IF(OR(S17=1,S17=2,S17=3),CELL("address",AB17),$Z$10))</f>
        <v>W10</v>
      </c>
      <c r="AB17" s="44" t="str">
        <f>IF(AND(G17&lt;&gt;"",G17&lt;&gt;"-",OR(S17=1,S17=2,S17=3)),VLOOKUP(G17,選手登録!$N$8:$V$32,2,FALSE),"-")</f>
        <v>-</v>
      </c>
      <c r="AC17" s="44" t="str">
        <f ca="1">IF(OR(S17=1,S17=2,S17=3),CELL("address",AD17),IF(OR(S17=4),$AC$10,$Z$10))</f>
        <v>W10</v>
      </c>
      <c r="AD17" s="44" t="str">
        <f>IF(AND(G17&lt;&gt;"",G17&lt;&gt;"-",OR(S17=1,S17=2,S17=3)),VLOOKUP(G17,選手登録!$N$8:$V$32,3,FALSE),"-")</f>
        <v>-</v>
      </c>
      <c r="AE17" s="44" t="str">
        <f ca="1">IF(OR(S17=2,S17=3),CELL("address",AF17),IF(OR(S17=1,S17=6),$Z$9,IF(S17=5,"",$Z$10)))</f>
        <v>W10</v>
      </c>
      <c r="AF17" s="44" t="str">
        <f>IF(AND(E17&lt;&gt;"",E17&lt;&gt;"-",OR(S17=2,S17=3)),VLOOKUP(E17,エントリー!$A$8:$H$87,8,TRUE),$Z$10)</f>
        <v>W10</v>
      </c>
      <c r="AG17" s="44" t="str">
        <f ca="1">IF(OR(S17=2,S17=3),CELL("address",AH17),IF(S17=1,VLOOKUP(W17,競技一覧!#REF!,8,TRUE),$Z$10))</f>
        <v>W10</v>
      </c>
      <c r="AH17" s="44" t="str">
        <f>IF(AND(OR(S17=2,S17=3),E17&lt;&gt;"",E17&lt;&gt;"-"),VLOOKUP(E17,エントリー!$A$8:$G$87,10,TRUE),$Y$10)</f>
        <v>-</v>
      </c>
      <c r="AI17" s="44" t="str">
        <f>IF(G17&lt;&gt;"",G17,IF(Z17&lt;&gt;"",Z17,""))</f>
        <v/>
      </c>
      <c r="AK17" s="44" t="str">
        <f t="shared" si="0"/>
        <v/>
      </c>
      <c r="AL17" s="44" t="str">
        <f t="shared" si="1"/>
        <v/>
      </c>
      <c r="AM17" s="44" t="str">
        <f>IF(G17&lt;&gt;"",IFERROR(VLOOKUP(AI17,選手登録!$N$8:$P$57,4,FALSE),""),"")</f>
        <v/>
      </c>
      <c r="AN17" s="44" t="str">
        <f>IF(L17&lt;&gt;"",IFERROR(VLOOKUP(L17,馬匹登録!$B$8:$I$57,6,FALSE),""),"")</f>
        <v/>
      </c>
      <c r="AO17" s="44" t="str">
        <f>IFERROR(VLOOKUP(M17,リスト!$J$2:$K$5,2,FALSE),"")</f>
        <v/>
      </c>
      <c r="AP17" s="44" t="str">
        <f t="shared" si="2"/>
        <v/>
      </c>
      <c r="AQ17" s="44" t="str">
        <f t="shared" si="3"/>
        <v/>
      </c>
      <c r="AR17" s="44" t="str">
        <f t="shared" si="4"/>
        <v/>
      </c>
      <c r="AS17" s="44" t="str">
        <f t="shared" si="5"/>
        <v/>
      </c>
      <c r="AT17" s="44" t="str">
        <f t="shared" si="6"/>
        <v/>
      </c>
      <c r="AU17" s="44" t="str">
        <f t="shared" si="7"/>
        <v/>
      </c>
      <c r="AV17" s="44" t="str">
        <f t="shared" si="8"/>
        <v/>
      </c>
      <c r="AW17" s="44" t="str">
        <f t="shared" si="9"/>
        <v/>
      </c>
      <c r="AX17" s="44" t="str">
        <f t="shared" si="10"/>
        <v/>
      </c>
      <c r="AY17" s="44">
        <f t="shared" si="11"/>
        <v>0</v>
      </c>
      <c r="BA17" s="44">
        <f t="shared" ref="BA17:BA54" si="19">IF(Z17&lt;&gt;"",BA16+1,BA16)</f>
        <v>0</v>
      </c>
      <c r="BB17" s="44" t="str">
        <f t="shared" si="12"/>
        <v/>
      </c>
      <c r="BC17" s="44">
        <f t="shared" si="13"/>
        <v>2</v>
      </c>
      <c r="BD17" s="44" t="str">
        <f t="shared" si="14"/>
        <v/>
      </c>
      <c r="BE17" s="44" t="str">
        <f t="shared" si="15"/>
        <v/>
      </c>
      <c r="BG17" s="44">
        <f t="shared" ref="BG17:BG54" si="20">IF(BH17&lt;&gt;"",BG16+1,BG16)</f>
        <v>0</v>
      </c>
      <c r="BH17" s="44" t="str">
        <f t="shared" ref="BH17:BH53" si="21">IF(AND($S17=5,$L17&lt;&gt;""),$L17,"")</f>
        <v/>
      </c>
      <c r="BI17" s="44">
        <f t="shared" si="16"/>
        <v>2</v>
      </c>
      <c r="BJ17" s="44" t="str">
        <f t="shared" si="17"/>
        <v/>
      </c>
      <c r="BK17" s="44" t="str">
        <f t="shared" si="18"/>
        <v/>
      </c>
    </row>
    <row r="18" spans="1:63" ht="22.5" customHeight="1" x14ac:dyDescent="0.4">
      <c r="A18" s="590"/>
      <c r="B18" s="592"/>
      <c r="C18" s="589"/>
      <c r="D18" s="96" t="str">
        <f>IF(OR(S17=2),"変更後","")</f>
        <v/>
      </c>
      <c r="E18" s="56"/>
      <c r="F18" s="99"/>
      <c r="G18" s="99"/>
      <c r="H18" s="99"/>
      <c r="I18" s="99"/>
      <c r="J18" s="99"/>
      <c r="K18" s="99"/>
      <c r="L18" s="99"/>
      <c r="M18" s="102"/>
      <c r="N18" s="54" t="str">
        <f>IF(AND(W18&lt;&gt;"",M18&lt;&gt;"",S17=2),IFERROR(VLOOKUP(W18,競技一覧!#REF!,3+VLOOKUP(M18,リスト!$J$2:$K$5,2,FALSE),FALSE),""),"")</f>
        <v/>
      </c>
      <c r="O18" s="597"/>
      <c r="P18" s="7" t="s">
        <v>8</v>
      </c>
      <c r="Q18" s="92"/>
      <c r="S18" s="44" t="str">
        <f>S17</f>
        <v/>
      </c>
      <c r="T18" s="44" t="str">
        <f>$Z$10</f>
        <v>W10</v>
      </c>
      <c r="U18" s="44" t="str">
        <f>IF(S17=2,$Z$7,$Z$10)</f>
        <v>W10</v>
      </c>
      <c r="V18" s="44"/>
      <c r="W18" s="44" t="str">
        <f>IF(AND(F18&lt;&gt;"",F18&lt;&gt;"-"),VLOOKUP(F18,競技一覧!#REF!,5,FALSE),"")</f>
        <v/>
      </c>
      <c r="X18" s="44" t="str">
        <f>IF(OR(S18=2),$Z$8,$Z$10)</f>
        <v>W10</v>
      </c>
      <c r="Y18" s="44"/>
      <c r="Z18" s="44"/>
      <c r="AA18" s="44" t="str">
        <f>IF(S18=2,$AC$9,IF(S18=4,$AF$7,$Z$10))</f>
        <v>W10</v>
      </c>
      <c r="AB18" s="44" t="str">
        <f>IF(AND(G18&lt;&gt;"",G18&lt;&gt;"-",S18=2),VLOOKUP(G18,選手登録!$N$8:$V$32,2,FALSE),"-")</f>
        <v>-</v>
      </c>
      <c r="AC18" s="44" t="str">
        <f ca="1">IF(OR(S18=2),CELL("address",AD18),IF(OR(S18=4,S18=5),"",$Z$10))</f>
        <v>W10</v>
      </c>
      <c r="AD18" s="44" t="str">
        <f>IF(AND(G18&lt;&gt;"",G18&lt;&gt;"-",S18=2),VLOOKUP(G18,選手登録!$N$8:$V$32,3,FALSE),"-")</f>
        <v>-</v>
      </c>
      <c r="AE18" s="44" t="str">
        <f>IF(OR(S18=2),$Z$9,IF(S18=5,"",$Z$10))</f>
        <v>W10</v>
      </c>
      <c r="AF18" s="44" t="str">
        <f>IF(AND(E18&lt;&gt;"",E18&lt;&gt;"-",OR(S18=2,S18=3)),VLOOKUP(E18,エントリー!$A$8:$H$87,8,TRUE),$Z$10)</f>
        <v>W10</v>
      </c>
      <c r="AG18" s="44" t="str">
        <f>IF(S18=2,VLOOKUP(W18,競技一覧!#REF!,8,TRUE),$Z$10)</f>
        <v>W10</v>
      </c>
      <c r="AH18" s="44"/>
      <c r="AI18" s="44"/>
      <c r="AK18" s="44" t="str">
        <f t="shared" si="0"/>
        <v/>
      </c>
      <c r="AL18" s="44" t="str">
        <f t="shared" si="1"/>
        <v/>
      </c>
      <c r="AM18" s="44" t="str">
        <f>IF(G18&lt;&gt;"",IFERROR(VLOOKUP(AI18,選手登録!$N$8:$P$57,4,FALSE),""),"")</f>
        <v/>
      </c>
      <c r="AN18" s="44" t="str">
        <f>IF(L18&lt;&gt;"",IFERROR(VLOOKUP(L18,馬匹登録!$B$8:$I$57,6,FALSE),""),"")</f>
        <v/>
      </c>
      <c r="AO18" s="44" t="str">
        <f>IFERROR(VLOOKUP(M18,リスト!$J$2:$K$5,2,FALSE),"")</f>
        <v/>
      </c>
      <c r="AP18" s="44" t="str">
        <f t="shared" si="2"/>
        <v/>
      </c>
      <c r="AQ18" s="44" t="str">
        <f t="shared" si="3"/>
        <v/>
      </c>
      <c r="AR18" s="44" t="str">
        <f t="shared" si="4"/>
        <v/>
      </c>
      <c r="AS18" s="44" t="str">
        <f t="shared" si="5"/>
        <v/>
      </c>
      <c r="AT18" s="44" t="str">
        <f t="shared" si="6"/>
        <v/>
      </c>
      <c r="AU18" s="44" t="str">
        <f t="shared" si="7"/>
        <v/>
      </c>
      <c r="AV18" s="44">
        <f t="shared" si="8"/>
        <v>0</v>
      </c>
      <c r="AW18" s="44" t="str">
        <f t="shared" si="9"/>
        <v>-</v>
      </c>
      <c r="AX18" s="44" t="str">
        <f t="shared" si="10"/>
        <v/>
      </c>
      <c r="AY18" s="44"/>
      <c r="BA18" s="44">
        <f t="shared" si="19"/>
        <v>0</v>
      </c>
      <c r="BB18" s="44" t="str">
        <f t="shared" si="12"/>
        <v/>
      </c>
      <c r="BC18" s="44">
        <f t="shared" si="13"/>
        <v>0</v>
      </c>
      <c r="BD18" s="44" t="str">
        <f t="shared" si="14"/>
        <v/>
      </c>
      <c r="BE18" s="44" t="str">
        <f t="shared" si="15"/>
        <v/>
      </c>
      <c r="BG18" s="44">
        <f t="shared" si="20"/>
        <v>0</v>
      </c>
      <c r="BH18" s="44"/>
      <c r="BI18" s="44">
        <f t="shared" si="16"/>
        <v>0</v>
      </c>
      <c r="BJ18" s="44" t="str">
        <f t="shared" si="17"/>
        <v/>
      </c>
      <c r="BK18" s="44" t="str">
        <f t="shared" si="18"/>
        <v/>
      </c>
    </row>
    <row r="19" spans="1:63" ht="22.5" customHeight="1" x14ac:dyDescent="0.4">
      <c r="A19" s="585">
        <v>3</v>
      </c>
      <c r="B19" s="591"/>
      <c r="C19" s="587"/>
      <c r="D19" s="95" t="str">
        <f>IF(OR(S19=2),"変更前","")</f>
        <v/>
      </c>
      <c r="E19" s="55"/>
      <c r="F19" s="98"/>
      <c r="G19" s="98"/>
      <c r="H19" s="98"/>
      <c r="I19" s="98"/>
      <c r="J19" s="98"/>
      <c r="K19" s="98"/>
      <c r="L19" s="98"/>
      <c r="M19" s="101"/>
      <c r="N19" s="85" t="str">
        <f>IF(AND(W19&lt;&gt;"",M19&lt;&gt;"",OR(S19=1,S19=2,S19=3)),IFERROR(VLOOKUP(W19,競技一覧!#REF!,3+VLOOKUP(M19,リスト!$J$2:$K$5,2,FALSE),FALSE) * IF(S19=1,1,-1),""),IF(S19=5,マスタ!$C$15,IF(S19=6,-1*マスタ!$C$15,"")))</f>
        <v/>
      </c>
      <c r="O19" s="606" t="str">
        <f>IF($C19&lt;&gt;"",IFERROR(VALUE(N20),0)+IFERROR(VALUE(N19),0),"")</f>
        <v/>
      </c>
      <c r="P19" s="5" t="str">
        <f>IF(OR($S19=1,$S19=2,$S19=3),マスタ!$C$16,IF($C19&lt;&gt;"",0,""))</f>
        <v/>
      </c>
      <c r="Q19" s="91"/>
      <c r="S19" s="44" t="str">
        <f>IF(C19&lt;&gt;"",VLOOKUP(C19,リスト!$R$2:$S$9,2,FALSE),"")</f>
        <v/>
      </c>
      <c r="T19" s="44" t="str">
        <f>IF(OR(S19=2,S19=3),$AC$7,$Z$10)</f>
        <v>W10</v>
      </c>
      <c r="U19" s="44" t="str">
        <f ca="1">IF(OR(S19=2,S19=3),CELL("address",V19),IF(S19=1,$Z$7,$Z$10))</f>
        <v>W10</v>
      </c>
      <c r="V19" s="44" t="str">
        <f>IF(AND(OR(S19=2, S19=3),E19&lt;&gt;"",E19&lt;&gt;"-"),VLOOKUP(E19,エントリー!$A$8:$H$87,6,TRUE),"-")</f>
        <v>-</v>
      </c>
      <c r="W19" s="44" t="str">
        <f>IF(AND(F19&lt;&gt;"",F19&lt;&gt;"-"),VLOOKUP(F19,競技一覧!#REF!,5,FALSE),"")</f>
        <v/>
      </c>
      <c r="X19" s="44" t="str">
        <f ca="1">IF(OR(S19=2,S19=3),CELL("address",Y19),IF(OR(S19=4),CELL("address",Z19),IF(S19=1,$Z$8,$Z$10)))</f>
        <v>W10</v>
      </c>
      <c r="Y19" s="44" t="str">
        <f>IF(AND(E19&lt;&gt;"",E19&lt;&gt;"-"),VLOOKUP(E19,エントリー!$A$8:$H$87,7,TRUE),"-")</f>
        <v>-</v>
      </c>
      <c r="Z19" s="44" t="str">
        <f>IF(S19=4,H19 &amp; " " &amp; I19,"")</f>
        <v/>
      </c>
      <c r="AA19" s="44" t="str">
        <f ca="1">IF(S19=4,$AC$9,IF(OR(S19=1,S19=2,S19=3),CELL("address",AB19),$Z$10))</f>
        <v>W10</v>
      </c>
      <c r="AB19" s="44" t="str">
        <f>IF(AND(G19&lt;&gt;"",G19&lt;&gt;"-",OR(S19=1,S19=2,S19=3)),VLOOKUP(G19,選手登録!$N$8:$V$32,2,FALSE),"-")</f>
        <v>-</v>
      </c>
      <c r="AC19" s="44" t="str">
        <f ca="1">IF(OR(S19=1,S19=2,S19=3),CELL("address",AD19),IF(OR(S19=4),$AC$10,$Z$10))</f>
        <v>W10</v>
      </c>
      <c r="AD19" s="44" t="str">
        <f>IF(AND(G19&lt;&gt;"",G19&lt;&gt;"-",OR(S19=1,S19=2,S19=3)),VLOOKUP(G19,選手登録!$N$8:$V$32,3,FALSE),"-")</f>
        <v>-</v>
      </c>
      <c r="AE19" s="44" t="str">
        <f ca="1">IF(OR(S19=2,S19=3),CELL("address",AF19),IF(OR(S19=1,S19=6),$Z$9,IF(S19=5,"",$Z$10)))</f>
        <v>W10</v>
      </c>
      <c r="AF19" s="44" t="str">
        <f>IF(AND(E19&lt;&gt;"",E19&lt;&gt;"-",OR(S19=2,S19=3)),VLOOKUP(E19,エントリー!$A$8:$H$87,8,TRUE),$Z$10)</f>
        <v>W10</v>
      </c>
      <c r="AG19" s="44" t="str">
        <f ca="1">IF(OR(S19=2,S19=3),CELL("address",AH19),IF(S19=1,VLOOKUP(W19,競技一覧!#REF!,8,TRUE),$Z$10))</f>
        <v>W10</v>
      </c>
      <c r="AH19" s="44" t="str">
        <f>IF(AND(OR(S19=2,S19=3),E19&lt;&gt;"",E19&lt;&gt;"-"),VLOOKUP(E19,エントリー!$A$8:$G$87,10,TRUE),$Y$10)</f>
        <v>-</v>
      </c>
      <c r="AI19" s="44" t="str">
        <f>IF(G19&lt;&gt;"",G19,IF(Z19&lt;&gt;"",Z19,""))</f>
        <v/>
      </c>
      <c r="AK19" s="44" t="str">
        <f t="shared" si="0"/>
        <v/>
      </c>
      <c r="AL19" s="44" t="str">
        <f t="shared" si="1"/>
        <v/>
      </c>
      <c r="AM19" s="44" t="str">
        <f>IF(G19&lt;&gt;"",IFERROR(VLOOKUP(AI19,選手登録!$N$8:$P$57,4,FALSE),""),"")</f>
        <v/>
      </c>
      <c r="AN19" s="44" t="str">
        <f>IF(L19&lt;&gt;"",IFERROR(VLOOKUP(L19,馬匹登録!$B$8:$I$57,6,FALSE),""),"")</f>
        <v/>
      </c>
      <c r="AO19" s="44" t="str">
        <f>IFERROR(VLOOKUP(M19,リスト!$J$2:$K$5,2,FALSE),"")</f>
        <v/>
      </c>
      <c r="AP19" s="44" t="str">
        <f t="shared" si="2"/>
        <v/>
      </c>
      <c r="AQ19" s="44" t="str">
        <f t="shared" si="3"/>
        <v/>
      </c>
      <c r="AR19" s="44" t="str">
        <f t="shared" si="4"/>
        <v/>
      </c>
      <c r="AS19" s="44" t="str">
        <f t="shared" si="5"/>
        <v/>
      </c>
      <c r="AT19" s="44" t="str">
        <f t="shared" si="6"/>
        <v/>
      </c>
      <c r="AU19" s="44" t="str">
        <f t="shared" si="7"/>
        <v/>
      </c>
      <c r="AV19" s="44" t="str">
        <f t="shared" si="8"/>
        <v/>
      </c>
      <c r="AW19" s="44" t="str">
        <f t="shared" si="9"/>
        <v/>
      </c>
      <c r="AX19" s="44" t="str">
        <f t="shared" si="10"/>
        <v/>
      </c>
      <c r="AY19" s="44"/>
      <c r="BA19" s="44">
        <f t="shared" si="19"/>
        <v>0</v>
      </c>
      <c r="BB19" s="44" t="str">
        <f t="shared" si="12"/>
        <v/>
      </c>
      <c r="BC19" s="44">
        <f t="shared" si="13"/>
        <v>3</v>
      </c>
      <c r="BD19" s="44" t="str">
        <f t="shared" si="14"/>
        <v/>
      </c>
      <c r="BE19" s="44" t="str">
        <f t="shared" si="15"/>
        <v/>
      </c>
      <c r="BG19" s="44">
        <f t="shared" si="20"/>
        <v>0</v>
      </c>
      <c r="BH19" s="44" t="str">
        <f t="shared" si="21"/>
        <v/>
      </c>
      <c r="BI19" s="44">
        <f t="shared" si="16"/>
        <v>3</v>
      </c>
      <c r="BJ19" s="44" t="str">
        <f t="shared" si="17"/>
        <v/>
      </c>
      <c r="BK19" s="44" t="str">
        <f t="shared" si="18"/>
        <v/>
      </c>
    </row>
    <row r="20" spans="1:63" ht="22.5" customHeight="1" x14ac:dyDescent="0.4">
      <c r="A20" s="590"/>
      <c r="B20" s="592"/>
      <c r="C20" s="589"/>
      <c r="D20" s="96" t="str">
        <f>IF(OR(S19=2),"変更後","")</f>
        <v/>
      </c>
      <c r="E20" s="56"/>
      <c r="F20" s="99"/>
      <c r="G20" s="99"/>
      <c r="H20" s="99"/>
      <c r="I20" s="99"/>
      <c r="J20" s="99"/>
      <c r="K20" s="99"/>
      <c r="L20" s="99"/>
      <c r="M20" s="102"/>
      <c r="N20" s="54" t="str">
        <f>IF(AND(W20&lt;&gt;"",M20&lt;&gt;"",S19=2),IFERROR(VLOOKUP(W20,競技一覧!#REF!,3+VLOOKUP(M20,リスト!$J$2:$K$5,2,FALSE),FALSE),""),"")</f>
        <v/>
      </c>
      <c r="O20" s="597"/>
      <c r="P20" s="7" t="s">
        <v>8</v>
      </c>
      <c r="Q20" s="92"/>
      <c r="S20" s="44" t="str">
        <f>S19</f>
        <v/>
      </c>
      <c r="T20" s="44" t="str">
        <f>$Z$10</f>
        <v>W10</v>
      </c>
      <c r="U20" s="44" t="str">
        <f>IF(S19=2,$Z$7,$Z$10)</f>
        <v>W10</v>
      </c>
      <c r="V20" s="44"/>
      <c r="W20" s="44" t="str">
        <f>IF(AND(F20&lt;&gt;"",F20&lt;&gt;"-"),VLOOKUP(F20,競技一覧!#REF!,5,FALSE),"")</f>
        <v/>
      </c>
      <c r="X20" s="44" t="str">
        <f>IF(OR(S20=2),$Z$8,$Z$10)</f>
        <v>W10</v>
      </c>
      <c r="Y20" s="44"/>
      <c r="Z20" s="44"/>
      <c r="AA20" s="44" t="str">
        <f>IF(S20=2,$AC$9,IF(S20=4,$AF$7,$Z$10))</f>
        <v>W10</v>
      </c>
      <c r="AB20" s="44" t="str">
        <f>IF(AND(G20&lt;&gt;"",G20&lt;&gt;"-",S20=2),VLOOKUP(G20,選手登録!$N$8:$V$32,2,FALSE),"-")</f>
        <v>-</v>
      </c>
      <c r="AC20" s="44" t="str">
        <f ca="1">IF(OR(S20=2),CELL("address",AD20),IF(OR(S20=4,S20=5),"",$Z$10))</f>
        <v>W10</v>
      </c>
      <c r="AD20" s="44" t="str">
        <f>IF(AND(G20&lt;&gt;"",G20&lt;&gt;"-",S20=2),VLOOKUP(G20,選手登録!$N$8:$V$32,3,FALSE),"-")</f>
        <v>-</v>
      </c>
      <c r="AE20" s="44" t="str">
        <f>IF(OR(S20=2),$Z$9,IF(S20=5,"",$Z$10))</f>
        <v>W10</v>
      </c>
      <c r="AF20" s="44" t="str">
        <f>IF(AND(E20&lt;&gt;"",E20&lt;&gt;"-",OR(S20=2,S20=3)),VLOOKUP(E20,エントリー!$A$8:$H$87,8,TRUE),$Z$10)</f>
        <v>W10</v>
      </c>
      <c r="AG20" s="44" t="str">
        <f>IF(S20=2,VLOOKUP(W20,競技一覧!#REF!,8,TRUE),$Z$10)</f>
        <v>W10</v>
      </c>
      <c r="AH20" s="44"/>
      <c r="AI20" s="44"/>
      <c r="AK20" s="44" t="str">
        <f t="shared" si="0"/>
        <v/>
      </c>
      <c r="AL20" s="44" t="str">
        <f t="shared" si="1"/>
        <v/>
      </c>
      <c r="AM20" s="44" t="str">
        <f>IF(G20&lt;&gt;"",IFERROR(VLOOKUP(AI20,選手登録!$N$8:$P$57,4,FALSE),""),"")</f>
        <v/>
      </c>
      <c r="AN20" s="44" t="str">
        <f>IF(L20&lt;&gt;"",IFERROR(VLOOKUP(L20,馬匹登録!$B$8:$I$57,6,FALSE),""),"")</f>
        <v/>
      </c>
      <c r="AO20" s="44" t="str">
        <f>IFERROR(VLOOKUP(M20,リスト!$J$2:$K$5,2,FALSE),"")</f>
        <v/>
      </c>
      <c r="AP20" s="44" t="str">
        <f t="shared" si="2"/>
        <v/>
      </c>
      <c r="AQ20" s="44" t="str">
        <f t="shared" si="3"/>
        <v/>
      </c>
      <c r="AR20" s="44" t="str">
        <f t="shared" si="4"/>
        <v/>
      </c>
      <c r="AS20" s="44" t="str">
        <f t="shared" si="5"/>
        <v/>
      </c>
      <c r="AT20" s="44" t="str">
        <f t="shared" si="6"/>
        <v/>
      </c>
      <c r="AU20" s="44" t="str">
        <f t="shared" si="7"/>
        <v/>
      </c>
      <c r="AV20" s="44">
        <f t="shared" si="8"/>
        <v>0</v>
      </c>
      <c r="AW20" s="44" t="str">
        <f t="shared" si="9"/>
        <v>-</v>
      </c>
      <c r="AX20" s="44" t="str">
        <f t="shared" si="10"/>
        <v/>
      </c>
      <c r="AY20" s="44"/>
      <c r="BA20" s="44">
        <f t="shared" si="19"/>
        <v>0</v>
      </c>
      <c r="BB20" s="44" t="str">
        <f t="shared" si="12"/>
        <v/>
      </c>
      <c r="BC20" s="44">
        <f t="shared" si="13"/>
        <v>0</v>
      </c>
      <c r="BD20" s="44" t="str">
        <f t="shared" si="14"/>
        <v/>
      </c>
      <c r="BE20" s="44" t="str">
        <f t="shared" si="15"/>
        <v/>
      </c>
      <c r="BG20" s="44">
        <f t="shared" si="20"/>
        <v>0</v>
      </c>
      <c r="BH20" s="44"/>
      <c r="BI20" s="44">
        <f t="shared" si="16"/>
        <v>0</v>
      </c>
      <c r="BJ20" s="44" t="str">
        <f t="shared" si="17"/>
        <v/>
      </c>
      <c r="BK20" s="44" t="str">
        <f t="shared" si="18"/>
        <v/>
      </c>
    </row>
    <row r="21" spans="1:63" ht="22.5" customHeight="1" x14ac:dyDescent="0.4">
      <c r="A21" s="585">
        <v>4</v>
      </c>
      <c r="B21" s="591"/>
      <c r="C21" s="587"/>
      <c r="D21" s="95" t="str">
        <f>IF(OR(S21=2),"変更前","")</f>
        <v/>
      </c>
      <c r="E21" s="55"/>
      <c r="F21" s="98"/>
      <c r="G21" s="98"/>
      <c r="H21" s="98"/>
      <c r="I21" s="98"/>
      <c r="J21" s="98"/>
      <c r="K21" s="98"/>
      <c r="L21" s="98"/>
      <c r="M21" s="101"/>
      <c r="N21" s="85" t="str">
        <f>IF(AND(W21&lt;&gt;"",M21&lt;&gt;"",OR(S21=1,S21=2,S21=3)),IFERROR(VLOOKUP(W21,競技一覧!#REF!,3+VLOOKUP(M21,リスト!$J$2:$K$5,2,FALSE),FALSE) * IF(S21=1,1,-1),""),IF(S21=5,マスタ!$C$15,IF(S21=6,-1*マスタ!$C$15,"")))</f>
        <v/>
      </c>
      <c r="O21" s="606" t="str">
        <f>IF($C21&lt;&gt;"",IFERROR(VALUE(N22),0)+IFERROR(VALUE(N21),0),"")</f>
        <v/>
      </c>
      <c r="P21" s="5" t="str">
        <f>IF(OR($S21=1,$S21=2,$S21=3),マスタ!$C$16,IF($C21&lt;&gt;"",0,""))</f>
        <v/>
      </c>
      <c r="Q21" s="91"/>
      <c r="S21" s="44" t="str">
        <f>IF(C21&lt;&gt;"",VLOOKUP(C21,リスト!$R$2:$S$9,2,FALSE),"")</f>
        <v/>
      </c>
      <c r="T21" s="44" t="str">
        <f>IF(OR(S21=2,S21=3),$AC$7,$Z$10)</f>
        <v>W10</v>
      </c>
      <c r="U21" s="44" t="str">
        <f ca="1">IF(OR(S21=2,S21=3),CELL("address",V21),IF(S21=1,$Z$7,$Z$10))</f>
        <v>W10</v>
      </c>
      <c r="V21" s="44" t="str">
        <f>IF(AND(OR(S21=2, S21=3),E21&lt;&gt;"",E21&lt;&gt;"-"),VLOOKUP(E21,エントリー!$A$8:$H$87,6,TRUE),"-")</f>
        <v>-</v>
      </c>
      <c r="W21" s="44" t="str">
        <f>IF(AND(F21&lt;&gt;"",F21&lt;&gt;"-"),VLOOKUP(F21,競技一覧!#REF!,5,FALSE),"")</f>
        <v/>
      </c>
      <c r="X21" s="44" t="str">
        <f ca="1">IF(OR(S21=2,S21=3),CELL("address",Y21),IF(OR(S21=4),CELL("address",Z21),IF(S21=1,$Z$8,$Z$10)))</f>
        <v>W10</v>
      </c>
      <c r="Y21" s="44" t="str">
        <f>IF(AND(E21&lt;&gt;"",E21&lt;&gt;"-"),VLOOKUP(E21,エントリー!$A$8:$H$87,7,TRUE),"-")</f>
        <v>-</v>
      </c>
      <c r="Z21" s="44" t="str">
        <f>IF(S21=4,H21 &amp; " " &amp; I21,"")</f>
        <v/>
      </c>
      <c r="AA21" s="44" t="str">
        <f ca="1">IF(S21=4,$AC$9,IF(OR(S21=1,S21=2,S21=3),CELL("address",AB21),$Z$10))</f>
        <v>W10</v>
      </c>
      <c r="AB21" s="44" t="str">
        <f>IF(AND(G21&lt;&gt;"",G21&lt;&gt;"-",OR(S21=1,S21=2,S21=3)),VLOOKUP(G21,選手登録!$N$8:$V$32,2,FALSE),"-")</f>
        <v>-</v>
      </c>
      <c r="AC21" s="44" t="str">
        <f ca="1">IF(OR(S21=1,S21=2,S21=3),CELL("address",AD21),IF(OR(S21=4),$AC$10,$Z$10))</f>
        <v>W10</v>
      </c>
      <c r="AD21" s="44" t="str">
        <f>IF(AND(G21&lt;&gt;"",G21&lt;&gt;"-",OR(S21=1,S21=2,S21=3)),VLOOKUP(G21,選手登録!$N$8:$V$32,3,FALSE),"-")</f>
        <v>-</v>
      </c>
      <c r="AE21" s="44" t="str">
        <f ca="1">IF(OR(S21=2,S21=3),CELL("address",AF21),IF(OR(S21=1,S21=6),$Z$9,IF(S21=5,"",$Z$10)))</f>
        <v>W10</v>
      </c>
      <c r="AF21" s="44" t="str">
        <f>IF(AND(E21&lt;&gt;"",E21&lt;&gt;"-",OR(S21=2,S21=3)),VLOOKUP(E21,エントリー!$A$8:$H$87,8,TRUE),$Z$10)</f>
        <v>W10</v>
      </c>
      <c r="AG21" s="44" t="str">
        <f ca="1">IF(OR(S21=2,S21=3),CELL("address",AH21),IF(S21=1,VLOOKUP(W21,競技一覧!#REF!,8,TRUE),$Z$10))</f>
        <v>W10</v>
      </c>
      <c r="AH21" s="44" t="str">
        <f>IF(AND(OR(S21=2,S21=3),E21&lt;&gt;"",E21&lt;&gt;"-"),VLOOKUP(E21,エントリー!$A$8:$G$87,10,TRUE),$Y$10)</f>
        <v>-</v>
      </c>
      <c r="AI21" s="44" t="str">
        <f>IF(G21&lt;&gt;"",G21,IF(Z21&lt;&gt;"",Z21,""))</f>
        <v/>
      </c>
      <c r="AK21" s="44" t="str">
        <f t="shared" si="0"/>
        <v/>
      </c>
      <c r="AL21" s="44" t="str">
        <f t="shared" si="1"/>
        <v/>
      </c>
      <c r="AM21" s="44" t="str">
        <f>IF(G21&lt;&gt;"",IFERROR(VLOOKUP(AI21,選手登録!$N$8:$P$57,4,FALSE),""),"")</f>
        <v/>
      </c>
      <c r="AN21" s="44" t="str">
        <f>IF(L21&lt;&gt;"",IFERROR(VLOOKUP(L21,馬匹登録!$B$8:$I$57,6,FALSE),""),"")</f>
        <v/>
      </c>
      <c r="AO21" s="44" t="str">
        <f>IFERROR(VLOOKUP(M21,リスト!$J$2:$K$5,2,FALSE),"")</f>
        <v/>
      </c>
      <c r="AP21" s="44" t="str">
        <f t="shared" si="2"/>
        <v/>
      </c>
      <c r="AQ21" s="44" t="str">
        <f t="shared" si="3"/>
        <v/>
      </c>
      <c r="AR21" s="44" t="str">
        <f t="shared" si="4"/>
        <v/>
      </c>
      <c r="AS21" s="44" t="str">
        <f t="shared" si="5"/>
        <v/>
      </c>
      <c r="AT21" s="44" t="str">
        <f t="shared" si="6"/>
        <v/>
      </c>
      <c r="AU21" s="44" t="str">
        <f t="shared" si="7"/>
        <v/>
      </c>
      <c r="AV21" s="44" t="str">
        <f t="shared" si="8"/>
        <v/>
      </c>
      <c r="AW21" s="44" t="str">
        <f t="shared" si="9"/>
        <v/>
      </c>
      <c r="AX21" s="44" t="str">
        <f t="shared" si="10"/>
        <v/>
      </c>
      <c r="AY21" s="44"/>
      <c r="BA21" s="44">
        <f t="shared" si="19"/>
        <v>0</v>
      </c>
      <c r="BB21" s="44" t="str">
        <f t="shared" si="12"/>
        <v/>
      </c>
      <c r="BC21" s="44">
        <f t="shared" si="13"/>
        <v>4</v>
      </c>
      <c r="BD21" s="44" t="str">
        <f t="shared" si="14"/>
        <v/>
      </c>
      <c r="BE21" s="44" t="str">
        <f t="shared" si="15"/>
        <v/>
      </c>
      <c r="BG21" s="44">
        <f t="shared" si="20"/>
        <v>0</v>
      </c>
      <c r="BH21" s="44" t="str">
        <f t="shared" si="21"/>
        <v/>
      </c>
      <c r="BI21" s="44">
        <f t="shared" si="16"/>
        <v>4</v>
      </c>
      <c r="BJ21" s="44" t="str">
        <f t="shared" si="17"/>
        <v/>
      </c>
      <c r="BK21" s="44" t="str">
        <f t="shared" si="18"/>
        <v/>
      </c>
    </row>
    <row r="22" spans="1:63" ht="22.5" customHeight="1" x14ac:dyDescent="0.4">
      <c r="A22" s="590"/>
      <c r="B22" s="592"/>
      <c r="C22" s="589"/>
      <c r="D22" s="96" t="str">
        <f>IF(OR(S21=2),"変更後","")</f>
        <v/>
      </c>
      <c r="E22" s="56"/>
      <c r="F22" s="99"/>
      <c r="G22" s="99"/>
      <c r="H22" s="99"/>
      <c r="I22" s="99"/>
      <c r="J22" s="99"/>
      <c r="K22" s="99"/>
      <c r="L22" s="99"/>
      <c r="M22" s="102"/>
      <c r="N22" s="54" t="str">
        <f>IF(AND(W22&lt;&gt;"",M22&lt;&gt;"",S21=2),IFERROR(VLOOKUP(W22,競技一覧!#REF!,3+VLOOKUP(M22,リスト!$J$2:$K$5,2,FALSE),FALSE),""),"")</f>
        <v/>
      </c>
      <c r="O22" s="597"/>
      <c r="P22" s="7" t="s">
        <v>8</v>
      </c>
      <c r="Q22" s="92"/>
      <c r="S22" s="44" t="str">
        <f>S21</f>
        <v/>
      </c>
      <c r="T22" s="44" t="str">
        <f>$Z$10</f>
        <v>W10</v>
      </c>
      <c r="U22" s="44" t="str">
        <f>IF(S21=2,$Z$7,$Z$10)</f>
        <v>W10</v>
      </c>
      <c r="V22" s="44"/>
      <c r="W22" s="44" t="str">
        <f>IF(AND(F22&lt;&gt;"",F22&lt;&gt;"-"),VLOOKUP(F22,競技一覧!#REF!,5,FALSE),"")</f>
        <v/>
      </c>
      <c r="X22" s="44" t="str">
        <f>IF(OR(S22=2),$Z$8,$Z$10)</f>
        <v>W10</v>
      </c>
      <c r="Y22" s="44"/>
      <c r="Z22" s="44"/>
      <c r="AA22" s="44" t="str">
        <f>IF(S22=2,$AC$9,IF(S22=4,$AF$7,$Z$10))</f>
        <v>W10</v>
      </c>
      <c r="AB22" s="44" t="str">
        <f>IF(AND(G22&lt;&gt;"",G22&lt;&gt;"-",S22=2),VLOOKUP(G22,選手登録!$N$8:$V$32,2,FALSE),"-")</f>
        <v>-</v>
      </c>
      <c r="AC22" s="44" t="str">
        <f ca="1">IF(OR(S22=2),CELL("address",AD22),IF(OR(S22=4,S22=5),"",$Z$10))</f>
        <v>W10</v>
      </c>
      <c r="AD22" s="44" t="str">
        <f>IF(AND(G22&lt;&gt;"",G22&lt;&gt;"-",S22=2),VLOOKUP(G22,選手登録!$N$8:$V$32,3,FALSE),"-")</f>
        <v>-</v>
      </c>
      <c r="AE22" s="44" t="str">
        <f>IF(OR(S22=2),$Z$9,IF(S22=5,"",$Z$10))</f>
        <v>W10</v>
      </c>
      <c r="AF22" s="44" t="str">
        <f>IF(AND(E22&lt;&gt;"",E22&lt;&gt;"-",OR(S22=2,S22=3)),VLOOKUP(E22,エントリー!$A$8:$H$87,8,TRUE),$Z$10)</f>
        <v>W10</v>
      </c>
      <c r="AG22" s="44" t="str">
        <f>IF(S22=2,VLOOKUP(W22,競技一覧!#REF!,8,TRUE),$Z$10)</f>
        <v>W10</v>
      </c>
      <c r="AH22" s="44"/>
      <c r="AI22" s="44"/>
      <c r="AK22" s="44" t="str">
        <f t="shared" si="0"/>
        <v/>
      </c>
      <c r="AL22" s="44" t="str">
        <f t="shared" si="1"/>
        <v/>
      </c>
      <c r="AM22" s="44" t="str">
        <f>IF(G22&lt;&gt;"",IFERROR(VLOOKUP(AI22,選手登録!$N$8:$P$57,4,FALSE),""),"")</f>
        <v/>
      </c>
      <c r="AN22" s="44" t="str">
        <f>IF(L22&lt;&gt;"",IFERROR(VLOOKUP(L22,馬匹登録!$B$8:$I$57,6,FALSE),""),"")</f>
        <v/>
      </c>
      <c r="AO22" s="44" t="str">
        <f>IFERROR(VLOOKUP(M22,リスト!$J$2:$K$5,2,FALSE),"")</f>
        <v/>
      </c>
      <c r="AP22" s="44" t="str">
        <f t="shared" si="2"/>
        <v/>
      </c>
      <c r="AQ22" s="44" t="str">
        <f t="shared" si="3"/>
        <v/>
      </c>
      <c r="AR22" s="44" t="str">
        <f t="shared" si="4"/>
        <v/>
      </c>
      <c r="AS22" s="44" t="str">
        <f t="shared" si="5"/>
        <v/>
      </c>
      <c r="AT22" s="44" t="str">
        <f t="shared" si="6"/>
        <v/>
      </c>
      <c r="AU22" s="44" t="str">
        <f t="shared" si="7"/>
        <v/>
      </c>
      <c r="AV22" s="44">
        <f t="shared" si="8"/>
        <v>0</v>
      </c>
      <c r="AW22" s="44" t="str">
        <f t="shared" si="9"/>
        <v>-</v>
      </c>
      <c r="AX22" s="44" t="str">
        <f t="shared" si="10"/>
        <v/>
      </c>
      <c r="AY22" s="44"/>
      <c r="BA22" s="44">
        <f t="shared" si="19"/>
        <v>0</v>
      </c>
      <c r="BB22" s="44" t="str">
        <f t="shared" si="12"/>
        <v/>
      </c>
      <c r="BC22" s="44">
        <f t="shared" si="13"/>
        <v>0</v>
      </c>
      <c r="BD22" s="44" t="str">
        <f t="shared" si="14"/>
        <v/>
      </c>
      <c r="BE22" s="44" t="str">
        <f t="shared" si="15"/>
        <v/>
      </c>
      <c r="BG22" s="44">
        <f t="shared" si="20"/>
        <v>0</v>
      </c>
      <c r="BH22" s="44"/>
      <c r="BI22" s="44">
        <f t="shared" si="16"/>
        <v>0</v>
      </c>
      <c r="BJ22" s="44" t="str">
        <f t="shared" si="17"/>
        <v/>
      </c>
      <c r="BK22" s="44" t="str">
        <f t="shared" si="18"/>
        <v/>
      </c>
    </row>
    <row r="23" spans="1:63" ht="22.5" customHeight="1" x14ac:dyDescent="0.4">
      <c r="A23" s="585">
        <v>5</v>
      </c>
      <c r="B23" s="591"/>
      <c r="C23" s="587"/>
      <c r="D23" s="95" t="str">
        <f>IF(OR(S23=2),"変更前","")</f>
        <v/>
      </c>
      <c r="E23" s="55"/>
      <c r="F23" s="98"/>
      <c r="G23" s="98"/>
      <c r="H23" s="98"/>
      <c r="I23" s="98"/>
      <c r="J23" s="98"/>
      <c r="K23" s="98"/>
      <c r="L23" s="98"/>
      <c r="M23" s="101"/>
      <c r="N23" s="85" t="str">
        <f>IF(AND(W23&lt;&gt;"",M23&lt;&gt;"",OR(S23=1,S23=2,S23=3)),IFERROR(VLOOKUP(W23,競技一覧!#REF!,3+VLOOKUP(M23,リスト!$J$2:$K$5,2,FALSE),FALSE) * IF(S23=1,1,-1),""),IF(S23=5,マスタ!$C$15,IF(S23=6,-1*マスタ!$C$15,"")))</f>
        <v/>
      </c>
      <c r="O23" s="606" t="str">
        <f>IF($C23&lt;&gt;"",IFERROR(VALUE(N24),0)+IFERROR(VALUE(N23),0),"")</f>
        <v/>
      </c>
      <c r="P23" s="5" t="str">
        <f>IF(OR($S23=1,$S23=2,$S23=3),マスタ!$C$16,IF($C23&lt;&gt;"",0,""))</f>
        <v/>
      </c>
      <c r="Q23" s="91"/>
      <c r="S23" s="44" t="str">
        <f>IF(C23&lt;&gt;"",VLOOKUP(C23,リスト!$R$2:$S$9,2,FALSE),"")</f>
        <v/>
      </c>
      <c r="T23" s="44" t="str">
        <f>IF(OR(S23=2,S23=3),$AC$7,$Z$10)</f>
        <v>W10</v>
      </c>
      <c r="U23" s="44" t="str">
        <f ca="1">IF(OR(S23=2,S23=3),CELL("address",V23),IF(S23=1,$Z$7,$Z$10))</f>
        <v>W10</v>
      </c>
      <c r="V23" s="44" t="str">
        <f>IF(AND(OR(S23=2, S23=3),E23&lt;&gt;"",E23&lt;&gt;"-"),VLOOKUP(E23,エントリー!$A$8:$H$87,6,TRUE),"-")</f>
        <v>-</v>
      </c>
      <c r="W23" s="44" t="str">
        <f>IF(AND(F23&lt;&gt;"",F23&lt;&gt;"-"),VLOOKUP(F23,競技一覧!#REF!,5,FALSE),"")</f>
        <v/>
      </c>
      <c r="X23" s="44" t="str">
        <f ca="1">IF(OR(S23=2,S23=3),CELL("address",Y23),IF(OR(S23=4),CELL("address",Z23),IF(S23=1,$Z$8,$Z$10)))</f>
        <v>W10</v>
      </c>
      <c r="Y23" s="44" t="str">
        <f>IF(AND(E23&lt;&gt;"",E23&lt;&gt;"-"),VLOOKUP(E23,エントリー!$A$8:$H$87,7,TRUE),"-")</f>
        <v>-</v>
      </c>
      <c r="Z23" s="44" t="str">
        <f>IF(S23=4,H23 &amp; " " &amp; I23,"")</f>
        <v/>
      </c>
      <c r="AA23" s="44" t="str">
        <f ca="1">IF(S23=4,$AC$9,IF(OR(S23=1,S23=2,S23=3),CELL("address",AB23),$Z$10))</f>
        <v>W10</v>
      </c>
      <c r="AB23" s="44" t="str">
        <f>IF(AND(G23&lt;&gt;"",G23&lt;&gt;"-",OR(S23=1,S23=2,S23=3)),VLOOKUP(G23,選手登録!$N$8:$V$32,2,FALSE),"-")</f>
        <v>-</v>
      </c>
      <c r="AC23" s="44" t="str">
        <f ca="1">IF(OR(S23=1,S23=2,S23=3),CELL("address",AD23),IF(OR(S23=4),$AC$10,$Z$10))</f>
        <v>W10</v>
      </c>
      <c r="AD23" s="44" t="str">
        <f>IF(AND(G23&lt;&gt;"",G23&lt;&gt;"-",OR(S23=1,S23=2,S23=3)),VLOOKUP(G23,選手登録!$N$8:$V$32,3,FALSE),"-")</f>
        <v>-</v>
      </c>
      <c r="AE23" s="44" t="str">
        <f ca="1">IF(OR(S23=2,S23=3),CELL("address",AF23),IF(OR(S23=1,S23=6),$Z$9,IF(S23=5,"",$Z$10)))</f>
        <v>W10</v>
      </c>
      <c r="AF23" s="44" t="str">
        <f>IF(AND(E23&lt;&gt;"",E23&lt;&gt;"-",OR(S23=2,S23=3)),VLOOKUP(E23,エントリー!$A$8:$H$87,8,TRUE),$Z$10)</f>
        <v>W10</v>
      </c>
      <c r="AG23" s="44" t="str">
        <f ca="1">IF(OR(S23=2,S23=3),CELL("address",AH23),IF(S23=1,VLOOKUP(W23,競技一覧!#REF!,8,TRUE),$Z$10))</f>
        <v>W10</v>
      </c>
      <c r="AH23" s="44" t="str">
        <f>IF(AND(OR(S23=2,S23=3),E23&lt;&gt;"",E23&lt;&gt;"-"),VLOOKUP(E23,エントリー!$A$8:$G$87,10,TRUE),$Y$10)</f>
        <v>-</v>
      </c>
      <c r="AI23" s="44" t="str">
        <f>IF(G23&lt;&gt;"",G23,IF(Z23&lt;&gt;"",Z23,""))</f>
        <v/>
      </c>
      <c r="AK23" s="44" t="str">
        <f t="shared" si="0"/>
        <v/>
      </c>
      <c r="AL23" s="44" t="str">
        <f t="shared" si="1"/>
        <v/>
      </c>
      <c r="AM23" s="44" t="str">
        <f>IF(G23&lt;&gt;"",IFERROR(VLOOKUP(AI23,選手登録!$N$8:$P$57,4,FALSE),""),"")</f>
        <v/>
      </c>
      <c r="AN23" s="44" t="str">
        <f>IF(L23&lt;&gt;"",IFERROR(VLOOKUP(L23,馬匹登録!$B$8:$I$57,6,FALSE),""),"")</f>
        <v/>
      </c>
      <c r="AO23" s="44" t="str">
        <f>IFERROR(VLOOKUP(M23,リスト!$J$2:$K$5,2,FALSE),"")</f>
        <v/>
      </c>
      <c r="AP23" s="44" t="str">
        <f t="shared" si="2"/>
        <v/>
      </c>
      <c r="AQ23" s="44" t="str">
        <f t="shared" si="3"/>
        <v/>
      </c>
      <c r="AR23" s="44" t="str">
        <f t="shared" si="4"/>
        <v/>
      </c>
      <c r="AS23" s="44" t="str">
        <f t="shared" si="5"/>
        <v/>
      </c>
      <c r="AT23" s="44" t="str">
        <f t="shared" si="6"/>
        <v/>
      </c>
      <c r="AU23" s="44" t="str">
        <f t="shared" si="7"/>
        <v/>
      </c>
      <c r="AV23" s="44" t="str">
        <f t="shared" si="8"/>
        <v/>
      </c>
      <c r="AW23" s="44" t="str">
        <f t="shared" si="9"/>
        <v/>
      </c>
      <c r="AX23" s="44" t="str">
        <f t="shared" si="10"/>
        <v/>
      </c>
      <c r="AY23" s="44"/>
      <c r="BA23" s="44">
        <f t="shared" si="19"/>
        <v>0</v>
      </c>
      <c r="BB23" s="44" t="str">
        <f t="shared" si="12"/>
        <v/>
      </c>
      <c r="BC23" s="44">
        <f t="shared" si="13"/>
        <v>5</v>
      </c>
      <c r="BD23" s="44" t="str">
        <f t="shared" si="14"/>
        <v/>
      </c>
      <c r="BE23" s="44" t="str">
        <f t="shared" si="15"/>
        <v/>
      </c>
      <c r="BG23" s="44">
        <f t="shared" si="20"/>
        <v>0</v>
      </c>
      <c r="BH23" s="44" t="str">
        <f t="shared" si="21"/>
        <v/>
      </c>
      <c r="BI23" s="44">
        <f t="shared" si="16"/>
        <v>5</v>
      </c>
      <c r="BJ23" s="44" t="str">
        <f t="shared" si="17"/>
        <v/>
      </c>
      <c r="BK23" s="44" t="str">
        <f t="shared" si="18"/>
        <v/>
      </c>
    </row>
    <row r="24" spans="1:63" ht="22.5" customHeight="1" x14ac:dyDescent="0.4">
      <c r="A24" s="590"/>
      <c r="B24" s="592"/>
      <c r="C24" s="589"/>
      <c r="D24" s="96" t="str">
        <f>IF(OR(S23=2),"変更後","")</f>
        <v/>
      </c>
      <c r="E24" s="56"/>
      <c r="F24" s="99"/>
      <c r="G24" s="99"/>
      <c r="H24" s="99"/>
      <c r="I24" s="99"/>
      <c r="J24" s="99"/>
      <c r="K24" s="99"/>
      <c r="L24" s="99"/>
      <c r="M24" s="102"/>
      <c r="N24" s="54" t="str">
        <f>IF(AND(W24&lt;&gt;"",M24&lt;&gt;"",S23=2),IFERROR(VLOOKUP(W24,競技一覧!#REF!,3+VLOOKUP(M24,リスト!$J$2:$K$5,2,FALSE),FALSE),""),"")</f>
        <v/>
      </c>
      <c r="O24" s="597"/>
      <c r="P24" s="7" t="s">
        <v>8</v>
      </c>
      <c r="Q24" s="92"/>
      <c r="S24" s="44" t="str">
        <f>S23</f>
        <v/>
      </c>
      <c r="T24" s="44" t="str">
        <f>$Z$10</f>
        <v>W10</v>
      </c>
      <c r="U24" s="44" t="str">
        <f>IF(S23=2,$Z$7,$Z$10)</f>
        <v>W10</v>
      </c>
      <c r="V24" s="44"/>
      <c r="W24" s="44" t="str">
        <f>IF(AND(F24&lt;&gt;"",F24&lt;&gt;"-"),VLOOKUP(F24,競技一覧!#REF!,5,FALSE),"")</f>
        <v/>
      </c>
      <c r="X24" s="44" t="str">
        <f>IF(OR(S24=2),$Z$8,$Z$10)</f>
        <v>W10</v>
      </c>
      <c r="Y24" s="44"/>
      <c r="Z24" s="44"/>
      <c r="AA24" s="44" t="str">
        <f>IF(S24=2,$AC$9,IF(S24=4,$AF$7,$Z$10))</f>
        <v>W10</v>
      </c>
      <c r="AB24" s="44" t="str">
        <f>IF(AND(G24&lt;&gt;"",G24&lt;&gt;"-",S24=2),VLOOKUP(G24,選手登録!$N$8:$V$32,2,FALSE),"-")</f>
        <v>-</v>
      </c>
      <c r="AC24" s="44" t="str">
        <f ca="1">IF(OR(S24=2),CELL("address",AD24),IF(OR(S24=4,S24=5),"",$Z$10))</f>
        <v>W10</v>
      </c>
      <c r="AD24" s="44" t="str">
        <f>IF(AND(G24&lt;&gt;"",G24&lt;&gt;"-",S24=2),VLOOKUP(G24,選手登録!$N$8:$V$32,3,FALSE),"-")</f>
        <v>-</v>
      </c>
      <c r="AE24" s="44" t="str">
        <f>IF(OR(S24=2),$Z$9,IF(S24=5,"",$Z$10))</f>
        <v>W10</v>
      </c>
      <c r="AF24" s="44" t="str">
        <f>IF(AND(E24&lt;&gt;"",E24&lt;&gt;"-",OR(S24=2,S24=3)),VLOOKUP(E24,エントリー!$A$8:$H$87,8,TRUE),$Z$10)</f>
        <v>W10</v>
      </c>
      <c r="AG24" s="44" t="str">
        <f>IF(S24=2,VLOOKUP(W24,競技一覧!#REF!,8,TRUE),$Z$10)</f>
        <v>W10</v>
      </c>
      <c r="AH24" s="44"/>
      <c r="AI24" s="44"/>
      <c r="AK24" s="44" t="str">
        <f t="shared" si="0"/>
        <v/>
      </c>
      <c r="AL24" s="44" t="str">
        <f t="shared" si="1"/>
        <v/>
      </c>
      <c r="AM24" s="44" t="str">
        <f>IF(G24&lt;&gt;"",IFERROR(VLOOKUP(AI24,選手登録!$N$8:$P$57,4,FALSE),""),"")</f>
        <v/>
      </c>
      <c r="AN24" s="44" t="str">
        <f>IF(L24&lt;&gt;"",IFERROR(VLOOKUP(L24,馬匹登録!$B$8:$I$57,6,FALSE),""),"")</f>
        <v/>
      </c>
      <c r="AO24" s="44" t="str">
        <f>IFERROR(VLOOKUP(M24,リスト!$J$2:$K$5,2,FALSE),"")</f>
        <v/>
      </c>
      <c r="AP24" s="44" t="str">
        <f t="shared" si="2"/>
        <v/>
      </c>
      <c r="AQ24" s="44" t="str">
        <f t="shared" si="3"/>
        <v/>
      </c>
      <c r="AR24" s="44" t="str">
        <f t="shared" si="4"/>
        <v/>
      </c>
      <c r="AS24" s="44" t="str">
        <f t="shared" si="5"/>
        <v/>
      </c>
      <c r="AT24" s="44" t="str">
        <f t="shared" si="6"/>
        <v/>
      </c>
      <c r="AU24" s="44" t="str">
        <f t="shared" si="7"/>
        <v/>
      </c>
      <c r="AV24" s="44">
        <f t="shared" si="8"/>
        <v>0</v>
      </c>
      <c r="AW24" s="44" t="str">
        <f t="shared" si="9"/>
        <v>-</v>
      </c>
      <c r="AX24" s="44" t="str">
        <f t="shared" si="10"/>
        <v/>
      </c>
      <c r="AY24" s="44"/>
      <c r="BA24" s="44">
        <f t="shared" si="19"/>
        <v>0</v>
      </c>
      <c r="BB24" s="44" t="str">
        <f t="shared" si="12"/>
        <v/>
      </c>
      <c r="BC24" s="44">
        <f t="shared" si="13"/>
        <v>0</v>
      </c>
      <c r="BD24" s="44" t="str">
        <f t="shared" si="14"/>
        <v/>
      </c>
      <c r="BE24" s="44" t="str">
        <f t="shared" si="15"/>
        <v/>
      </c>
      <c r="BG24" s="44">
        <f t="shared" si="20"/>
        <v>0</v>
      </c>
      <c r="BH24" s="44"/>
      <c r="BI24" s="44">
        <f t="shared" si="16"/>
        <v>0</v>
      </c>
      <c r="BJ24" s="44" t="str">
        <f t="shared" si="17"/>
        <v/>
      </c>
      <c r="BK24" s="44" t="str">
        <f t="shared" si="18"/>
        <v/>
      </c>
    </row>
    <row r="25" spans="1:63" ht="22.5" customHeight="1" x14ac:dyDescent="0.4">
      <c r="A25" s="585">
        <v>6</v>
      </c>
      <c r="B25" s="591"/>
      <c r="C25" s="587"/>
      <c r="D25" s="95" t="str">
        <f>IF(OR(S25=2),"変更前","")</f>
        <v/>
      </c>
      <c r="E25" s="55"/>
      <c r="F25" s="98"/>
      <c r="G25" s="98"/>
      <c r="H25" s="98"/>
      <c r="I25" s="98"/>
      <c r="J25" s="98"/>
      <c r="K25" s="98"/>
      <c r="L25" s="98"/>
      <c r="M25" s="101"/>
      <c r="N25" s="85" t="str">
        <f>IF(AND(W25&lt;&gt;"",M25&lt;&gt;"",OR(S25=1,S25=2,S25=3)),IFERROR(VLOOKUP(W25,競技一覧!#REF!,3+VLOOKUP(M25,リスト!$J$2:$K$5,2,FALSE),FALSE) * IF(S25=1,1,-1),""),IF(S25=5,マスタ!$C$15,IF(S25=6,-1*マスタ!$C$15,"")))</f>
        <v/>
      </c>
      <c r="O25" s="606" t="str">
        <f>IF($C25&lt;&gt;"",IFERROR(VALUE(N26),0)+IFERROR(VALUE(N25),0),"")</f>
        <v/>
      </c>
      <c r="P25" s="5" t="str">
        <f>IF(OR($S25=1,$S25=2,$S25=3),マスタ!$C$16,IF($C25&lt;&gt;"",0,""))</f>
        <v/>
      </c>
      <c r="Q25" s="91"/>
      <c r="S25" s="44" t="str">
        <f>IF(C25&lt;&gt;"",VLOOKUP(C25,リスト!$R$2:$S$9,2,FALSE),"")</f>
        <v/>
      </c>
      <c r="T25" s="44" t="str">
        <f>IF(OR(S25=2,S25=3),$AC$7,$Z$10)</f>
        <v>W10</v>
      </c>
      <c r="U25" s="44" t="str">
        <f ca="1">IF(OR(S25=2,S25=3),CELL("address",V25),IF(S25=1,$Z$7,$Z$10))</f>
        <v>W10</v>
      </c>
      <c r="V25" s="44" t="str">
        <f>IF(AND(OR(S25=2, S25=3),E25&lt;&gt;"",E25&lt;&gt;"-"),VLOOKUP(E25,エントリー!$A$8:$H$87,6,TRUE),"-")</f>
        <v>-</v>
      </c>
      <c r="W25" s="44" t="str">
        <f>IF(AND(F25&lt;&gt;"",F25&lt;&gt;"-"),VLOOKUP(F25,競技一覧!#REF!,5,FALSE),"")</f>
        <v/>
      </c>
      <c r="X25" s="44" t="str">
        <f ca="1">IF(OR(S25=2,S25=3),CELL("address",Y25),IF(OR(S25=4),CELL("address",Z25),IF(S25=1,$Z$8,$Z$10)))</f>
        <v>W10</v>
      </c>
      <c r="Y25" s="44" t="str">
        <f>IF(AND(E25&lt;&gt;"",E25&lt;&gt;"-"),VLOOKUP(E25,エントリー!$A$8:$H$87,7,TRUE),"-")</f>
        <v>-</v>
      </c>
      <c r="Z25" s="44" t="str">
        <f>IF(S25=4,H25 &amp; " " &amp; I25,"")</f>
        <v/>
      </c>
      <c r="AA25" s="44" t="str">
        <f ca="1">IF(S25=4,$AC$9,IF(OR(S25=1,S25=2,S25=3),CELL("address",AB25),$Z$10))</f>
        <v>W10</v>
      </c>
      <c r="AB25" s="44" t="str">
        <f>IF(AND(G25&lt;&gt;"",G25&lt;&gt;"-",OR(S25=1,S25=2,S25=3)),VLOOKUP(G25,選手登録!$N$8:$V$32,2,FALSE),"-")</f>
        <v>-</v>
      </c>
      <c r="AC25" s="44" t="str">
        <f ca="1">IF(OR(S25=1,S25=2,S25=3),CELL("address",AD25),IF(OR(S25=4),$AC$10,$Z$10))</f>
        <v>W10</v>
      </c>
      <c r="AD25" s="44" t="str">
        <f>IF(AND(G25&lt;&gt;"",G25&lt;&gt;"-",OR(S25=1,S25=2,S25=3)),VLOOKUP(G25,選手登録!$N$8:$V$32,3,FALSE),"-")</f>
        <v>-</v>
      </c>
      <c r="AE25" s="44" t="str">
        <f ca="1">IF(OR(S25=2,S25=3),CELL("address",AF25),IF(OR(S25=1,S25=6),$Z$9,IF(S25=5,"",$Z$10)))</f>
        <v>W10</v>
      </c>
      <c r="AF25" s="44" t="str">
        <f>IF(AND(E25&lt;&gt;"",E25&lt;&gt;"-",OR(S25=2,S25=3)),VLOOKUP(E25,エントリー!$A$8:$H$87,8,TRUE),$Z$10)</f>
        <v>W10</v>
      </c>
      <c r="AG25" s="44" t="str">
        <f ca="1">IF(OR(S25=2,S25=3),CELL("address",AH25),IF(S25=1,VLOOKUP(W25,競技一覧!#REF!,8,TRUE),$Z$10))</f>
        <v>W10</v>
      </c>
      <c r="AH25" s="44" t="str">
        <f>IF(AND(OR(S25=2,S25=3),E25&lt;&gt;"",E25&lt;&gt;"-"),VLOOKUP(E25,エントリー!$A$8:$G$87,10,TRUE),$Y$10)</f>
        <v>-</v>
      </c>
      <c r="AI25" s="44" t="str">
        <f>IF(G25&lt;&gt;"",G25,IF(Z25&lt;&gt;"",Z25,""))</f>
        <v/>
      </c>
      <c r="AK25" s="44" t="str">
        <f t="shared" si="0"/>
        <v/>
      </c>
      <c r="AL25" s="44" t="str">
        <f t="shared" si="1"/>
        <v/>
      </c>
      <c r="AM25" s="44" t="str">
        <f>IF(G25&lt;&gt;"",IFERROR(VLOOKUP(AI25,選手登録!$N$8:$P$57,4,FALSE),""),"")</f>
        <v/>
      </c>
      <c r="AN25" s="44" t="str">
        <f>IF(L25&lt;&gt;"",IFERROR(VLOOKUP(L25,馬匹登録!$B$8:$I$57,6,FALSE),""),"")</f>
        <v/>
      </c>
      <c r="AO25" s="44" t="str">
        <f>IFERROR(VLOOKUP(M25,リスト!$J$2:$K$5,2,FALSE),"")</f>
        <v/>
      </c>
      <c r="AP25" s="44" t="str">
        <f t="shared" si="2"/>
        <v/>
      </c>
      <c r="AQ25" s="44" t="str">
        <f t="shared" si="3"/>
        <v/>
      </c>
      <c r="AR25" s="44" t="str">
        <f t="shared" si="4"/>
        <v/>
      </c>
      <c r="AS25" s="44" t="str">
        <f t="shared" si="5"/>
        <v/>
      </c>
      <c r="AT25" s="44" t="str">
        <f t="shared" si="6"/>
        <v/>
      </c>
      <c r="AU25" s="44" t="str">
        <f t="shared" si="7"/>
        <v/>
      </c>
      <c r="AV25" s="44" t="str">
        <f t="shared" si="8"/>
        <v/>
      </c>
      <c r="AW25" s="44" t="str">
        <f t="shared" si="9"/>
        <v/>
      </c>
      <c r="AX25" s="44" t="str">
        <f t="shared" si="10"/>
        <v/>
      </c>
      <c r="AY25" s="44"/>
      <c r="BA25" s="44">
        <f t="shared" si="19"/>
        <v>0</v>
      </c>
      <c r="BB25" s="44" t="str">
        <f t="shared" si="12"/>
        <v/>
      </c>
      <c r="BC25" s="44">
        <f t="shared" si="13"/>
        <v>6</v>
      </c>
      <c r="BD25" s="44" t="str">
        <f t="shared" si="14"/>
        <v/>
      </c>
      <c r="BE25" s="44" t="str">
        <f t="shared" si="15"/>
        <v/>
      </c>
      <c r="BG25" s="44">
        <f t="shared" si="20"/>
        <v>0</v>
      </c>
      <c r="BH25" s="44" t="str">
        <f t="shared" si="21"/>
        <v/>
      </c>
      <c r="BI25" s="44">
        <f t="shared" si="16"/>
        <v>6</v>
      </c>
      <c r="BJ25" s="44" t="str">
        <f t="shared" si="17"/>
        <v/>
      </c>
      <c r="BK25" s="44" t="str">
        <f t="shared" si="18"/>
        <v/>
      </c>
    </row>
    <row r="26" spans="1:63" ht="22.5" customHeight="1" x14ac:dyDescent="0.4">
      <c r="A26" s="590"/>
      <c r="B26" s="592"/>
      <c r="C26" s="589"/>
      <c r="D26" s="96" t="str">
        <f>IF(OR(S25=2),"変更後","")</f>
        <v/>
      </c>
      <c r="E26" s="56"/>
      <c r="F26" s="99"/>
      <c r="G26" s="99"/>
      <c r="H26" s="99"/>
      <c r="I26" s="99"/>
      <c r="J26" s="99"/>
      <c r="K26" s="99"/>
      <c r="L26" s="99"/>
      <c r="M26" s="102"/>
      <c r="N26" s="54" t="str">
        <f>IF(AND(W26&lt;&gt;"",M26&lt;&gt;"",S25=2),IFERROR(VLOOKUP(W26,競技一覧!#REF!,3+VLOOKUP(M26,リスト!$J$2:$K$5,2,FALSE),FALSE),""),"")</f>
        <v/>
      </c>
      <c r="O26" s="597"/>
      <c r="P26" s="7" t="s">
        <v>8</v>
      </c>
      <c r="Q26" s="92"/>
      <c r="S26" s="44" t="str">
        <f>S25</f>
        <v/>
      </c>
      <c r="T26" s="44" t="str">
        <f>$Z$10</f>
        <v>W10</v>
      </c>
      <c r="U26" s="44" t="str">
        <f>IF(S25=2,$Z$7,$Z$10)</f>
        <v>W10</v>
      </c>
      <c r="V26" s="44"/>
      <c r="W26" s="44" t="str">
        <f>IF(AND(F26&lt;&gt;"",F26&lt;&gt;"-"),VLOOKUP(F26,競技一覧!#REF!,5,FALSE),"")</f>
        <v/>
      </c>
      <c r="X26" s="44" t="str">
        <f>IF(OR(S26=2),$Z$8,$Z$10)</f>
        <v>W10</v>
      </c>
      <c r="Y26" s="44"/>
      <c r="Z26" s="44"/>
      <c r="AA26" s="44" t="str">
        <f>IF(S26=2,$AC$9,IF(S26=4,$AF$7,$Z$10))</f>
        <v>W10</v>
      </c>
      <c r="AB26" s="44" t="str">
        <f>IF(AND(G26&lt;&gt;"",G26&lt;&gt;"-",S26=2),VLOOKUP(G26,選手登録!$N$8:$V$32,2,FALSE),"-")</f>
        <v>-</v>
      </c>
      <c r="AC26" s="44" t="str">
        <f ca="1">IF(OR(S26=2),CELL("address",AD26),IF(OR(S26=4,S26=5),"",$Z$10))</f>
        <v>W10</v>
      </c>
      <c r="AD26" s="44" t="str">
        <f>IF(AND(G26&lt;&gt;"",G26&lt;&gt;"-",S26=2),VLOOKUP(G26,選手登録!$N$8:$V$32,3,FALSE),"-")</f>
        <v>-</v>
      </c>
      <c r="AE26" s="44" t="str">
        <f>IF(OR(S26=2),$Z$9,IF(S26=5,"",$Z$10))</f>
        <v>W10</v>
      </c>
      <c r="AF26" s="44" t="str">
        <f>IF(AND(E26&lt;&gt;"",E26&lt;&gt;"-",OR(S26=2,S26=3)),VLOOKUP(E26,エントリー!$A$8:$H$87,8,TRUE),$Z$10)</f>
        <v>W10</v>
      </c>
      <c r="AG26" s="44" t="str">
        <f>IF(S26=2,VLOOKUP(W26,競技一覧!#REF!,8,TRUE),$Z$10)</f>
        <v>W10</v>
      </c>
      <c r="AH26" s="44"/>
      <c r="AI26" s="44"/>
      <c r="AK26" s="44" t="str">
        <f t="shared" si="0"/>
        <v/>
      </c>
      <c r="AL26" s="44" t="str">
        <f t="shared" si="1"/>
        <v/>
      </c>
      <c r="AM26" s="44" t="str">
        <f>IF(G26&lt;&gt;"",IFERROR(VLOOKUP(AI26,選手登録!$N$8:$P$57,4,FALSE),""),"")</f>
        <v/>
      </c>
      <c r="AN26" s="44" t="str">
        <f>IF(L26&lt;&gt;"",IFERROR(VLOOKUP(L26,馬匹登録!$B$8:$I$57,6,FALSE),""),"")</f>
        <v/>
      </c>
      <c r="AO26" s="44" t="str">
        <f>IFERROR(VLOOKUP(M26,リスト!$J$2:$K$5,2,FALSE),"")</f>
        <v/>
      </c>
      <c r="AP26" s="44" t="str">
        <f t="shared" si="2"/>
        <v/>
      </c>
      <c r="AQ26" s="44" t="str">
        <f t="shared" si="3"/>
        <v/>
      </c>
      <c r="AR26" s="44" t="str">
        <f t="shared" si="4"/>
        <v/>
      </c>
      <c r="AS26" s="44" t="str">
        <f t="shared" si="5"/>
        <v/>
      </c>
      <c r="AT26" s="44" t="str">
        <f t="shared" si="6"/>
        <v/>
      </c>
      <c r="AU26" s="44" t="str">
        <f t="shared" si="7"/>
        <v/>
      </c>
      <c r="AV26" s="44">
        <f t="shared" si="8"/>
        <v>0</v>
      </c>
      <c r="AW26" s="44" t="str">
        <f t="shared" si="9"/>
        <v>-</v>
      </c>
      <c r="AX26" s="44" t="str">
        <f t="shared" si="10"/>
        <v/>
      </c>
      <c r="AY26" s="44"/>
      <c r="BA26" s="44">
        <f t="shared" si="19"/>
        <v>0</v>
      </c>
      <c r="BB26" s="44" t="str">
        <f t="shared" si="12"/>
        <v/>
      </c>
      <c r="BC26" s="44">
        <f t="shared" si="13"/>
        <v>0</v>
      </c>
      <c r="BD26" s="44" t="str">
        <f t="shared" si="14"/>
        <v/>
      </c>
      <c r="BE26" s="44" t="str">
        <f t="shared" si="15"/>
        <v/>
      </c>
      <c r="BG26" s="44">
        <f t="shared" si="20"/>
        <v>0</v>
      </c>
      <c r="BH26" s="44"/>
      <c r="BI26" s="44">
        <f t="shared" si="16"/>
        <v>0</v>
      </c>
      <c r="BJ26" s="44" t="str">
        <f t="shared" si="17"/>
        <v/>
      </c>
      <c r="BK26" s="44" t="str">
        <f t="shared" si="18"/>
        <v/>
      </c>
    </row>
    <row r="27" spans="1:63" ht="22.5" customHeight="1" x14ac:dyDescent="0.4">
      <c r="A27" s="585">
        <v>7</v>
      </c>
      <c r="B27" s="591"/>
      <c r="C27" s="587"/>
      <c r="D27" s="95" t="str">
        <f>IF(OR(S27=2),"変更前","")</f>
        <v/>
      </c>
      <c r="E27" s="55"/>
      <c r="F27" s="98"/>
      <c r="G27" s="98"/>
      <c r="H27" s="98"/>
      <c r="I27" s="98"/>
      <c r="J27" s="98"/>
      <c r="K27" s="98"/>
      <c r="L27" s="98"/>
      <c r="M27" s="101"/>
      <c r="N27" s="85" t="str">
        <f>IF(AND(W27&lt;&gt;"",M27&lt;&gt;"",OR(S27=1,S27=2,S27=3)),IFERROR(VLOOKUP(W27,競技一覧!#REF!,3+VLOOKUP(M27,リスト!$J$2:$K$5,2,FALSE),FALSE) * IF(S27=1,1,-1),""),IF(S27=5,マスタ!$C$15,IF(S27=6,-1*マスタ!$C$15,"")))</f>
        <v/>
      </c>
      <c r="O27" s="606" t="str">
        <f>IF($C27&lt;&gt;"",IFERROR(VALUE(N28),0)+IFERROR(VALUE(N27),0),"")</f>
        <v/>
      </c>
      <c r="P27" s="5" t="str">
        <f>IF(OR($S27=1,$S27=2,$S27=3),マスタ!$C$16,IF($C27&lt;&gt;"",0,""))</f>
        <v/>
      </c>
      <c r="Q27" s="91"/>
      <c r="S27" s="44" t="str">
        <f>IF(C27&lt;&gt;"",VLOOKUP(C27,リスト!$R$2:$S$9,2,FALSE),"")</f>
        <v/>
      </c>
      <c r="T27" s="44" t="str">
        <f>IF(OR(S27=2,S27=3),$AC$7,$Z$10)</f>
        <v>W10</v>
      </c>
      <c r="U27" s="44" t="str">
        <f ca="1">IF(OR(S27=2,S27=3),CELL("address",V27),IF(S27=1,$Z$7,$Z$10))</f>
        <v>W10</v>
      </c>
      <c r="V27" s="44" t="str">
        <f>IF(AND(OR(S27=2, S27=3),E27&lt;&gt;"",E27&lt;&gt;"-"),VLOOKUP(E27,エントリー!$A$8:$H$87,6,TRUE),"-")</f>
        <v>-</v>
      </c>
      <c r="W27" s="44" t="str">
        <f>IF(AND(F27&lt;&gt;"",F27&lt;&gt;"-"),VLOOKUP(F27,競技一覧!#REF!,5,FALSE),"")</f>
        <v/>
      </c>
      <c r="X27" s="44" t="str">
        <f ca="1">IF(OR(S27=2,S27=3),CELL("address",Y27),IF(OR(S27=4),CELL("address",Z27),IF(S27=1,$Z$8,$Z$10)))</f>
        <v>W10</v>
      </c>
      <c r="Y27" s="44" t="str">
        <f>IF(AND(E27&lt;&gt;"",E27&lt;&gt;"-"),VLOOKUP(E27,エントリー!$A$8:$H$87,7,TRUE),"-")</f>
        <v>-</v>
      </c>
      <c r="Z27" s="44" t="str">
        <f>IF(S27=4,H27 &amp; " " &amp; I27,"")</f>
        <v/>
      </c>
      <c r="AA27" s="44" t="str">
        <f ca="1">IF(S27=4,$AC$9,IF(OR(S27=1,S27=2,S27=3),CELL("address",AB27),$Z$10))</f>
        <v>W10</v>
      </c>
      <c r="AB27" s="44" t="str">
        <f>IF(AND(G27&lt;&gt;"",G27&lt;&gt;"-",OR(S27=1,S27=2,S27=3)),VLOOKUP(G27,選手登録!$N$8:$V$32,2,FALSE),"-")</f>
        <v>-</v>
      </c>
      <c r="AC27" s="44" t="str">
        <f ca="1">IF(OR(S27=1,S27=2,S27=3),CELL("address",AD27),IF(OR(S27=4),$AC$10,$Z$10))</f>
        <v>W10</v>
      </c>
      <c r="AD27" s="44" t="str">
        <f>IF(AND(G27&lt;&gt;"",G27&lt;&gt;"-",OR(S27=1,S27=2,S27=3)),VLOOKUP(G27,選手登録!$N$8:$V$32,3,FALSE),"-")</f>
        <v>-</v>
      </c>
      <c r="AE27" s="44" t="str">
        <f ca="1">IF(OR(S27=2,S27=3),CELL("address",AF27),IF(OR(S27=1,S27=6),$Z$9,IF(S27=5,"",$Z$10)))</f>
        <v>W10</v>
      </c>
      <c r="AF27" s="44" t="str">
        <f>IF(AND(E27&lt;&gt;"",E27&lt;&gt;"-",OR(S27=2,S27=3)),VLOOKUP(E27,エントリー!$A$8:$H$87,8,TRUE),$Z$10)</f>
        <v>W10</v>
      </c>
      <c r="AG27" s="44" t="str">
        <f ca="1">IF(OR(S27=2,S27=3),CELL("address",AH27),IF(S27=1,VLOOKUP(W27,競技一覧!#REF!,8,TRUE),$Z$10))</f>
        <v>W10</v>
      </c>
      <c r="AH27" s="44" t="str">
        <f>IF(AND(OR(S27=2,S27=3),E27&lt;&gt;"",E27&lt;&gt;"-"),VLOOKUP(E27,エントリー!$A$8:$G$87,10,TRUE),$Y$10)</f>
        <v>-</v>
      </c>
      <c r="AI27" s="44" t="str">
        <f>IF(G27&lt;&gt;"",G27,IF(Z27&lt;&gt;"",Z27,""))</f>
        <v/>
      </c>
      <c r="AK27" s="44" t="str">
        <f t="shared" si="0"/>
        <v/>
      </c>
      <c r="AL27" s="44" t="str">
        <f t="shared" si="1"/>
        <v/>
      </c>
      <c r="AM27" s="44" t="str">
        <f>IF(G27&lt;&gt;"",IFERROR(VLOOKUP(AI27,選手登録!$N$8:$P$57,4,FALSE),""),"")</f>
        <v/>
      </c>
      <c r="AN27" s="44" t="str">
        <f>IF(L27&lt;&gt;"",IFERROR(VLOOKUP(L27,馬匹登録!$B$8:$I$57,6,FALSE),""),"")</f>
        <v/>
      </c>
      <c r="AO27" s="44" t="str">
        <f>IFERROR(VLOOKUP(M27,リスト!$J$2:$K$5,2,FALSE),"")</f>
        <v/>
      </c>
      <c r="AP27" s="44" t="str">
        <f t="shared" si="2"/>
        <v/>
      </c>
      <c r="AQ27" s="44" t="str">
        <f t="shared" si="3"/>
        <v/>
      </c>
      <c r="AR27" s="44" t="str">
        <f t="shared" si="4"/>
        <v/>
      </c>
      <c r="AS27" s="44" t="str">
        <f t="shared" si="5"/>
        <v/>
      </c>
      <c r="AT27" s="44" t="str">
        <f t="shared" si="6"/>
        <v/>
      </c>
      <c r="AU27" s="44" t="str">
        <f t="shared" si="7"/>
        <v/>
      </c>
      <c r="AV27" s="44" t="str">
        <f t="shared" si="8"/>
        <v/>
      </c>
      <c r="AW27" s="44" t="str">
        <f t="shared" si="9"/>
        <v/>
      </c>
      <c r="AX27" s="44" t="str">
        <f t="shared" si="10"/>
        <v/>
      </c>
      <c r="AY27" s="44"/>
      <c r="BA27" s="44">
        <f t="shared" si="19"/>
        <v>0</v>
      </c>
      <c r="BB27" s="44" t="str">
        <f t="shared" si="12"/>
        <v/>
      </c>
      <c r="BC27" s="44">
        <f t="shared" si="13"/>
        <v>7</v>
      </c>
      <c r="BD27" s="44" t="str">
        <f t="shared" si="14"/>
        <v/>
      </c>
      <c r="BE27" s="44" t="str">
        <f t="shared" si="15"/>
        <v/>
      </c>
      <c r="BG27" s="44">
        <f t="shared" si="20"/>
        <v>0</v>
      </c>
      <c r="BH27" s="44" t="str">
        <f t="shared" si="21"/>
        <v/>
      </c>
      <c r="BI27" s="44">
        <f t="shared" si="16"/>
        <v>7</v>
      </c>
      <c r="BJ27" s="44" t="str">
        <f t="shared" si="17"/>
        <v/>
      </c>
      <c r="BK27" s="44" t="str">
        <f t="shared" si="18"/>
        <v/>
      </c>
    </row>
    <row r="28" spans="1:63" ht="22.5" customHeight="1" x14ac:dyDescent="0.4">
      <c r="A28" s="590"/>
      <c r="B28" s="592"/>
      <c r="C28" s="589"/>
      <c r="D28" s="96" t="str">
        <f>IF(OR(S27=2),"変更後","")</f>
        <v/>
      </c>
      <c r="E28" s="56"/>
      <c r="F28" s="99"/>
      <c r="G28" s="99"/>
      <c r="H28" s="99"/>
      <c r="I28" s="99"/>
      <c r="J28" s="99"/>
      <c r="K28" s="99"/>
      <c r="L28" s="99"/>
      <c r="M28" s="102"/>
      <c r="N28" s="54" t="str">
        <f>IF(AND(W28&lt;&gt;"",M28&lt;&gt;"",S27=2),IFERROR(VLOOKUP(W28,競技一覧!#REF!,3+VLOOKUP(M28,リスト!$J$2:$K$5,2,FALSE),FALSE),""),"")</f>
        <v/>
      </c>
      <c r="O28" s="597"/>
      <c r="P28" s="7" t="s">
        <v>8</v>
      </c>
      <c r="Q28" s="92"/>
      <c r="S28" s="44" t="str">
        <f>S27</f>
        <v/>
      </c>
      <c r="T28" s="44" t="str">
        <f>$Z$10</f>
        <v>W10</v>
      </c>
      <c r="U28" s="44" t="str">
        <f>IF(S27=2,$Z$7,$Z$10)</f>
        <v>W10</v>
      </c>
      <c r="V28" s="44"/>
      <c r="W28" s="44" t="str">
        <f>IF(AND(F28&lt;&gt;"",F28&lt;&gt;"-"),VLOOKUP(F28,競技一覧!#REF!,5,FALSE),"")</f>
        <v/>
      </c>
      <c r="X28" s="44" t="str">
        <f>IF(OR(S28=2),$Z$8,$Z$10)</f>
        <v>W10</v>
      </c>
      <c r="Y28" s="44"/>
      <c r="Z28" s="44"/>
      <c r="AA28" s="44" t="str">
        <f>IF(S28=2,$AC$9,IF(S28=4,$AF$7,$Z$10))</f>
        <v>W10</v>
      </c>
      <c r="AB28" s="44" t="str">
        <f>IF(AND(G28&lt;&gt;"",G28&lt;&gt;"-",S28=2),VLOOKUP(G28,選手登録!$N$8:$V$32,2,FALSE),"-")</f>
        <v>-</v>
      </c>
      <c r="AC28" s="44" t="str">
        <f ca="1">IF(OR(S28=2),CELL("address",AD28),IF(OR(S28=4,S28=5),"",$Z$10))</f>
        <v>W10</v>
      </c>
      <c r="AD28" s="44" t="str">
        <f>IF(AND(G28&lt;&gt;"",G28&lt;&gt;"-",S28=2),VLOOKUP(G28,選手登録!$N$8:$V$32,3,FALSE),"-")</f>
        <v>-</v>
      </c>
      <c r="AE28" s="44" t="str">
        <f>IF(OR(S28=2),$Z$9,IF(S28=5,"",$Z$10))</f>
        <v>W10</v>
      </c>
      <c r="AF28" s="44" t="str">
        <f>IF(AND(E28&lt;&gt;"",E28&lt;&gt;"-",OR(S28=2,S28=3)),VLOOKUP(E28,エントリー!$A$8:$H$87,8,TRUE),$Z$10)</f>
        <v>W10</v>
      </c>
      <c r="AG28" s="44" t="str">
        <f>IF(S28=2,VLOOKUP(W28,競技一覧!#REF!,8,TRUE),$Z$10)</f>
        <v>W10</v>
      </c>
      <c r="AH28" s="44"/>
      <c r="AI28" s="44"/>
      <c r="AK28" s="44" t="str">
        <f t="shared" si="0"/>
        <v/>
      </c>
      <c r="AL28" s="44" t="str">
        <f t="shared" si="1"/>
        <v/>
      </c>
      <c r="AM28" s="44" t="str">
        <f>IF(G28&lt;&gt;"",IFERROR(VLOOKUP(AI28,選手登録!$N$8:$P$57,4,FALSE),""),"")</f>
        <v/>
      </c>
      <c r="AN28" s="44" t="str">
        <f>IF(L28&lt;&gt;"",IFERROR(VLOOKUP(L28,馬匹登録!$B$8:$I$57,6,FALSE),""),"")</f>
        <v/>
      </c>
      <c r="AO28" s="44" t="str">
        <f>IFERROR(VLOOKUP(M28,リスト!$J$2:$K$5,2,FALSE),"")</f>
        <v/>
      </c>
      <c r="AP28" s="44" t="str">
        <f t="shared" si="2"/>
        <v/>
      </c>
      <c r="AQ28" s="44" t="str">
        <f t="shared" si="3"/>
        <v/>
      </c>
      <c r="AR28" s="44" t="str">
        <f t="shared" si="4"/>
        <v/>
      </c>
      <c r="AS28" s="44" t="str">
        <f t="shared" si="5"/>
        <v/>
      </c>
      <c r="AT28" s="44" t="str">
        <f t="shared" si="6"/>
        <v/>
      </c>
      <c r="AU28" s="44" t="str">
        <f t="shared" si="7"/>
        <v/>
      </c>
      <c r="AV28" s="44">
        <f t="shared" si="8"/>
        <v>0</v>
      </c>
      <c r="AW28" s="44" t="str">
        <f t="shared" si="9"/>
        <v>-</v>
      </c>
      <c r="AX28" s="44" t="str">
        <f t="shared" si="10"/>
        <v/>
      </c>
      <c r="AY28" s="44"/>
      <c r="BA28" s="44">
        <f t="shared" si="19"/>
        <v>0</v>
      </c>
      <c r="BB28" s="44" t="str">
        <f t="shared" si="12"/>
        <v/>
      </c>
      <c r="BC28" s="44">
        <f t="shared" si="13"/>
        <v>0</v>
      </c>
      <c r="BD28" s="44" t="str">
        <f t="shared" si="14"/>
        <v/>
      </c>
      <c r="BE28" s="44" t="str">
        <f t="shared" si="15"/>
        <v/>
      </c>
      <c r="BG28" s="44">
        <f t="shared" si="20"/>
        <v>0</v>
      </c>
      <c r="BH28" s="44"/>
      <c r="BI28" s="44">
        <f t="shared" si="16"/>
        <v>0</v>
      </c>
      <c r="BJ28" s="44" t="str">
        <f t="shared" si="17"/>
        <v/>
      </c>
      <c r="BK28" s="44" t="str">
        <f t="shared" si="18"/>
        <v/>
      </c>
    </row>
    <row r="29" spans="1:63" ht="22.5" customHeight="1" x14ac:dyDescent="0.4">
      <c r="A29" s="585">
        <v>8</v>
      </c>
      <c r="B29" s="591"/>
      <c r="C29" s="587"/>
      <c r="D29" s="95" t="str">
        <f>IF(OR(S29=2),"変更前","")</f>
        <v/>
      </c>
      <c r="E29" s="55"/>
      <c r="F29" s="98"/>
      <c r="G29" s="98"/>
      <c r="H29" s="98"/>
      <c r="I29" s="98"/>
      <c r="J29" s="98"/>
      <c r="K29" s="98"/>
      <c r="L29" s="98"/>
      <c r="M29" s="101"/>
      <c r="N29" s="85" t="str">
        <f>IF(AND(W29&lt;&gt;"",M29&lt;&gt;"",OR(S29=1,S29=2,S29=3)),IFERROR(VLOOKUP(W29,競技一覧!#REF!,3+VLOOKUP(M29,リスト!$J$2:$K$5,2,FALSE),FALSE) * IF(S29=1,1,-1),""),IF(S29=5,マスタ!$C$15,IF(S29=6,-1*マスタ!$C$15,"")))</f>
        <v/>
      </c>
      <c r="O29" s="606" t="str">
        <f>IF($C29&lt;&gt;"",IFERROR(VALUE(N30),0)+IFERROR(VALUE(N29),0),"")</f>
        <v/>
      </c>
      <c r="P29" s="5" t="str">
        <f>IF(OR($S29=1,$S29=2,$S29=3),マスタ!$C$16,IF($C29&lt;&gt;"",0,""))</f>
        <v/>
      </c>
      <c r="Q29" s="91"/>
      <c r="S29" s="44" t="str">
        <f>IF(C29&lt;&gt;"",VLOOKUP(C29,リスト!$R$2:$S$9,2,FALSE),"")</f>
        <v/>
      </c>
      <c r="T29" s="44" t="str">
        <f>IF(OR(S29=2,S29=3),$AC$7,$Z$10)</f>
        <v>W10</v>
      </c>
      <c r="U29" s="44" t="str">
        <f ca="1">IF(OR(S29=2,S29=3),CELL("address",V29),IF(S29=1,$Z$7,$Z$10))</f>
        <v>W10</v>
      </c>
      <c r="V29" s="44" t="str">
        <f>IF(AND(OR(S29=2, S29=3),E29&lt;&gt;"",E29&lt;&gt;"-"),VLOOKUP(E29,エントリー!$A$8:$H$87,6,TRUE),"-")</f>
        <v>-</v>
      </c>
      <c r="W29" s="44" t="str">
        <f>IF(AND(F29&lt;&gt;"",F29&lt;&gt;"-"),VLOOKUP(F29,競技一覧!#REF!,5,FALSE),"")</f>
        <v/>
      </c>
      <c r="X29" s="44" t="str">
        <f ca="1">IF(OR(S29=2,S29=3),CELL("address",Y29),IF(OR(S29=4),CELL("address",Z29),IF(S29=1,$Z$8,$Z$10)))</f>
        <v>W10</v>
      </c>
      <c r="Y29" s="44" t="str">
        <f>IF(AND(E29&lt;&gt;"",E29&lt;&gt;"-"),VLOOKUP(E29,エントリー!$A$8:$H$87,7,TRUE),"-")</f>
        <v>-</v>
      </c>
      <c r="Z29" s="44" t="str">
        <f>IF(S29=4,H29 &amp; " " &amp; I29,"")</f>
        <v/>
      </c>
      <c r="AA29" s="44" t="str">
        <f ca="1">IF(S29=4,$AC$9,IF(OR(S29=1,S29=2,S29=3),CELL("address",AB29),$Z$10))</f>
        <v>W10</v>
      </c>
      <c r="AB29" s="44" t="str">
        <f>IF(AND(G29&lt;&gt;"",G29&lt;&gt;"-",OR(S29=1,S29=2,S29=3)),VLOOKUP(G29,選手登録!$N$8:$V$32,2,FALSE),"-")</f>
        <v>-</v>
      </c>
      <c r="AC29" s="44" t="str">
        <f ca="1">IF(OR(S29=1,S29=2,S29=3),CELL("address",AD29),IF(OR(S29=4),$AC$10,$Z$10))</f>
        <v>W10</v>
      </c>
      <c r="AD29" s="44" t="str">
        <f>IF(AND(G29&lt;&gt;"",G29&lt;&gt;"-",OR(S29=1,S29=2,S29=3)),VLOOKUP(G29,選手登録!$N$8:$V$32,3,FALSE),"-")</f>
        <v>-</v>
      </c>
      <c r="AE29" s="44" t="str">
        <f ca="1">IF(OR(S29=2,S29=3),CELL("address",AF29),IF(OR(S29=1,S29=6),$Z$9,IF(S29=5,"",$Z$10)))</f>
        <v>W10</v>
      </c>
      <c r="AF29" s="44" t="str">
        <f>IF(AND(E29&lt;&gt;"",E29&lt;&gt;"-",OR(S29=2,S29=3)),VLOOKUP(E29,エントリー!$A$8:$H$87,8,TRUE),$Z$10)</f>
        <v>W10</v>
      </c>
      <c r="AG29" s="44" t="str">
        <f ca="1">IF(OR(S29=2,S29=3),CELL("address",AH29),IF(S29=1,VLOOKUP(W29,競技一覧!#REF!,8,TRUE),$Z$10))</f>
        <v>W10</v>
      </c>
      <c r="AH29" s="44" t="str">
        <f>IF(AND(OR(S29=2,S29=3),E29&lt;&gt;"",E29&lt;&gt;"-"),VLOOKUP(E29,エントリー!$A$8:$G$87,10,TRUE),$Y$10)</f>
        <v>-</v>
      </c>
      <c r="AI29" s="44" t="str">
        <f>IF(G29&lt;&gt;"",G29,IF(Z29&lt;&gt;"",Z29,""))</f>
        <v/>
      </c>
      <c r="AK29" s="44" t="str">
        <f t="shared" si="0"/>
        <v/>
      </c>
      <c r="AL29" s="44" t="str">
        <f t="shared" si="1"/>
        <v/>
      </c>
      <c r="AM29" s="44" t="str">
        <f>IF(G29&lt;&gt;"",IFERROR(VLOOKUP(AI29,選手登録!$N$8:$P$57,4,FALSE),""),"")</f>
        <v/>
      </c>
      <c r="AN29" s="44" t="str">
        <f>IF(L29&lt;&gt;"",IFERROR(VLOOKUP(L29,馬匹登録!$B$8:$I$57,6,FALSE),""),"")</f>
        <v/>
      </c>
      <c r="AO29" s="44" t="str">
        <f>IFERROR(VLOOKUP(M29,リスト!$J$2:$K$5,2,FALSE),"")</f>
        <v/>
      </c>
      <c r="AP29" s="44" t="str">
        <f t="shared" si="2"/>
        <v/>
      </c>
      <c r="AQ29" s="44" t="str">
        <f t="shared" si="3"/>
        <v/>
      </c>
      <c r="AR29" s="44" t="str">
        <f t="shared" si="4"/>
        <v/>
      </c>
      <c r="AS29" s="44" t="str">
        <f t="shared" si="5"/>
        <v/>
      </c>
      <c r="AT29" s="44" t="str">
        <f t="shared" si="6"/>
        <v/>
      </c>
      <c r="AU29" s="44" t="str">
        <f t="shared" si="7"/>
        <v/>
      </c>
      <c r="AV29" s="44" t="str">
        <f t="shared" si="8"/>
        <v/>
      </c>
      <c r="AW29" s="44" t="str">
        <f t="shared" si="9"/>
        <v/>
      </c>
      <c r="AX29" s="44" t="str">
        <f t="shared" si="10"/>
        <v/>
      </c>
      <c r="AY29" s="44"/>
      <c r="BA29" s="44">
        <f t="shared" si="19"/>
        <v>0</v>
      </c>
      <c r="BB29" s="44" t="str">
        <f t="shared" si="12"/>
        <v/>
      </c>
      <c r="BC29" s="44">
        <f t="shared" si="13"/>
        <v>8</v>
      </c>
      <c r="BD29" s="44" t="str">
        <f t="shared" si="14"/>
        <v/>
      </c>
      <c r="BE29" s="44" t="str">
        <f t="shared" si="15"/>
        <v/>
      </c>
      <c r="BG29" s="44">
        <f t="shared" si="20"/>
        <v>0</v>
      </c>
      <c r="BH29" s="44" t="str">
        <f t="shared" si="21"/>
        <v/>
      </c>
      <c r="BI29" s="44">
        <f t="shared" si="16"/>
        <v>8</v>
      </c>
      <c r="BJ29" s="44" t="str">
        <f t="shared" si="17"/>
        <v/>
      </c>
      <c r="BK29" s="44" t="str">
        <f t="shared" si="18"/>
        <v/>
      </c>
    </row>
    <row r="30" spans="1:63" ht="22.5" customHeight="1" x14ac:dyDescent="0.4">
      <c r="A30" s="590"/>
      <c r="B30" s="592"/>
      <c r="C30" s="589"/>
      <c r="D30" s="96" t="str">
        <f>IF(OR(S29=2),"変更後","")</f>
        <v/>
      </c>
      <c r="E30" s="56"/>
      <c r="F30" s="99"/>
      <c r="G30" s="99"/>
      <c r="H30" s="99"/>
      <c r="I30" s="99"/>
      <c r="J30" s="99"/>
      <c r="K30" s="99"/>
      <c r="L30" s="99"/>
      <c r="M30" s="102"/>
      <c r="N30" s="54" t="str">
        <f>IF(AND(W30&lt;&gt;"",M30&lt;&gt;"",S29=2),IFERROR(VLOOKUP(W30,競技一覧!#REF!,3+VLOOKUP(M30,リスト!$J$2:$K$5,2,FALSE),FALSE),""),"")</f>
        <v/>
      </c>
      <c r="O30" s="597"/>
      <c r="P30" s="7" t="s">
        <v>8</v>
      </c>
      <c r="Q30" s="92"/>
      <c r="S30" s="44" t="str">
        <f>S29</f>
        <v/>
      </c>
      <c r="T30" s="44" t="str">
        <f>$Z$10</f>
        <v>W10</v>
      </c>
      <c r="U30" s="44" t="str">
        <f>IF(S29=2,$Z$7,$Z$10)</f>
        <v>W10</v>
      </c>
      <c r="V30" s="44"/>
      <c r="W30" s="44" t="str">
        <f>IF(AND(F30&lt;&gt;"",F30&lt;&gt;"-"),VLOOKUP(F30,競技一覧!#REF!,5,FALSE),"")</f>
        <v/>
      </c>
      <c r="X30" s="44" t="str">
        <f>IF(OR(S30=2),$Z$8,$Z$10)</f>
        <v>W10</v>
      </c>
      <c r="Y30" s="44"/>
      <c r="Z30" s="44"/>
      <c r="AA30" s="44" t="str">
        <f>IF(S30=2,$AC$9,IF(S30=4,$AF$7,$Z$10))</f>
        <v>W10</v>
      </c>
      <c r="AB30" s="44" t="str">
        <f>IF(AND(G30&lt;&gt;"",G30&lt;&gt;"-",S30=2),VLOOKUP(G30,選手登録!$N$8:$V$32,2,FALSE),"-")</f>
        <v>-</v>
      </c>
      <c r="AC30" s="44" t="str">
        <f ca="1">IF(OR(S30=2),CELL("address",AD30),IF(OR(S30=4,S30=5),"",$Z$10))</f>
        <v>W10</v>
      </c>
      <c r="AD30" s="44" t="str">
        <f>IF(AND(G30&lt;&gt;"",G30&lt;&gt;"-",S30=2),VLOOKUP(G30,選手登録!$N$8:$V$32,3,FALSE),"-")</f>
        <v>-</v>
      </c>
      <c r="AE30" s="44" t="str">
        <f>IF(OR(S30=2),$Z$9,IF(S30=5,"",$Z$10))</f>
        <v>W10</v>
      </c>
      <c r="AF30" s="44" t="str">
        <f>IF(AND(E30&lt;&gt;"",E30&lt;&gt;"-",OR(S30=2,S30=3)),VLOOKUP(E30,エントリー!$A$8:$H$87,8,TRUE),$Z$10)</f>
        <v>W10</v>
      </c>
      <c r="AG30" s="44" t="str">
        <f>IF(S30=2,VLOOKUP(W30,競技一覧!#REF!,8,TRUE),$Z$10)</f>
        <v>W10</v>
      </c>
      <c r="AH30" s="44"/>
      <c r="AI30" s="44"/>
      <c r="AK30" s="44" t="str">
        <f t="shared" si="0"/>
        <v/>
      </c>
      <c r="AL30" s="44" t="str">
        <f t="shared" si="1"/>
        <v/>
      </c>
      <c r="AM30" s="44" t="str">
        <f>IF(G30&lt;&gt;"",IFERROR(VLOOKUP(AI30,選手登録!$N$8:$P$57,4,FALSE),""),"")</f>
        <v/>
      </c>
      <c r="AN30" s="44" t="str">
        <f>IF(L30&lt;&gt;"",IFERROR(VLOOKUP(L30,馬匹登録!$B$8:$I$57,6,FALSE),""),"")</f>
        <v/>
      </c>
      <c r="AO30" s="44" t="str">
        <f>IFERROR(VLOOKUP(M30,リスト!$J$2:$K$5,2,FALSE),"")</f>
        <v/>
      </c>
      <c r="AP30" s="44" t="str">
        <f t="shared" si="2"/>
        <v/>
      </c>
      <c r="AQ30" s="44" t="str">
        <f t="shared" si="3"/>
        <v/>
      </c>
      <c r="AR30" s="44" t="str">
        <f t="shared" si="4"/>
        <v/>
      </c>
      <c r="AS30" s="44" t="str">
        <f t="shared" si="5"/>
        <v/>
      </c>
      <c r="AT30" s="44" t="str">
        <f t="shared" si="6"/>
        <v/>
      </c>
      <c r="AU30" s="44" t="str">
        <f t="shared" si="7"/>
        <v/>
      </c>
      <c r="AV30" s="44">
        <f t="shared" si="8"/>
        <v>0</v>
      </c>
      <c r="AW30" s="44" t="str">
        <f t="shared" si="9"/>
        <v>-</v>
      </c>
      <c r="AX30" s="44" t="str">
        <f t="shared" si="10"/>
        <v/>
      </c>
      <c r="AY30" s="44"/>
      <c r="BA30" s="44">
        <f t="shared" si="19"/>
        <v>0</v>
      </c>
      <c r="BB30" s="44" t="str">
        <f t="shared" si="12"/>
        <v/>
      </c>
      <c r="BC30" s="44">
        <f t="shared" si="13"/>
        <v>0</v>
      </c>
      <c r="BD30" s="44" t="str">
        <f t="shared" si="14"/>
        <v/>
      </c>
      <c r="BE30" s="44" t="str">
        <f t="shared" si="15"/>
        <v/>
      </c>
      <c r="BG30" s="44">
        <f t="shared" si="20"/>
        <v>0</v>
      </c>
      <c r="BH30" s="44"/>
      <c r="BI30" s="44">
        <f t="shared" si="16"/>
        <v>0</v>
      </c>
      <c r="BJ30" s="44" t="str">
        <f t="shared" si="17"/>
        <v/>
      </c>
      <c r="BK30" s="44" t="str">
        <f t="shared" si="18"/>
        <v/>
      </c>
    </row>
    <row r="31" spans="1:63" ht="22.5" customHeight="1" x14ac:dyDescent="0.4">
      <c r="A31" s="585">
        <v>9</v>
      </c>
      <c r="B31" s="591"/>
      <c r="C31" s="587"/>
      <c r="D31" s="95" t="str">
        <f>IF(OR(S31=2),"変更前","")</f>
        <v/>
      </c>
      <c r="E31" s="55"/>
      <c r="F31" s="98"/>
      <c r="G31" s="98"/>
      <c r="H31" s="98"/>
      <c r="I31" s="98"/>
      <c r="J31" s="98"/>
      <c r="K31" s="98"/>
      <c r="L31" s="98"/>
      <c r="M31" s="101"/>
      <c r="N31" s="85" t="str">
        <f>IF(AND(W31&lt;&gt;"",M31&lt;&gt;"",OR(S31=1,S31=2,S31=3)),IFERROR(VLOOKUP(W31,競技一覧!#REF!,3+VLOOKUP(M31,リスト!$J$2:$K$5,2,FALSE),FALSE) * IF(S31=1,1,-1),""),IF(S31=5,マスタ!$C$15,IF(S31=6,-1*マスタ!$C$15,"")))</f>
        <v/>
      </c>
      <c r="O31" s="606" t="str">
        <f>IF($C31&lt;&gt;"",IFERROR(VALUE(N32),0)+IFERROR(VALUE(N31),0),"")</f>
        <v/>
      </c>
      <c r="P31" s="5" t="str">
        <f>IF(OR($S31=1,$S31=2,$S31=3),マスタ!$C$16,IF($C31&lt;&gt;"",0,""))</f>
        <v/>
      </c>
      <c r="Q31" s="91"/>
      <c r="S31" s="44" t="str">
        <f>IF(C31&lt;&gt;"",VLOOKUP(C31,リスト!$R$2:$S$9,2,FALSE),"")</f>
        <v/>
      </c>
      <c r="T31" s="44" t="str">
        <f>IF(OR(S31=2,S31=3),$AC$7,$Z$10)</f>
        <v>W10</v>
      </c>
      <c r="U31" s="44" t="str">
        <f ca="1">IF(OR(S31=2,S31=3),CELL("address",V31),IF(S31=1,$Z$7,$Z$10))</f>
        <v>W10</v>
      </c>
      <c r="V31" s="44" t="str">
        <f>IF(AND(OR(S31=2, S31=3),E31&lt;&gt;"",E31&lt;&gt;"-"),VLOOKUP(E31,エントリー!$A$8:$H$87,6,TRUE),"-")</f>
        <v>-</v>
      </c>
      <c r="W31" s="44" t="str">
        <f>IF(AND(F31&lt;&gt;"",F31&lt;&gt;"-"),VLOOKUP(F31,競技一覧!#REF!,5,FALSE),"")</f>
        <v/>
      </c>
      <c r="X31" s="44" t="str">
        <f ca="1">IF(OR(S31=2,S31=3),CELL("address",Y31),IF(OR(S31=4),CELL("address",Z31),IF(S31=1,$Z$8,$Z$10)))</f>
        <v>W10</v>
      </c>
      <c r="Y31" s="44" t="str">
        <f>IF(AND(E31&lt;&gt;"",E31&lt;&gt;"-"),VLOOKUP(E31,エントリー!$A$8:$H$87,7,TRUE),"-")</f>
        <v>-</v>
      </c>
      <c r="Z31" s="44" t="str">
        <f>IF(S31=4,H31 &amp; " " &amp; I31,"")</f>
        <v/>
      </c>
      <c r="AA31" s="44" t="str">
        <f ca="1">IF(S31=4,$AC$9,IF(OR(S31=1,S31=2,S31=3),CELL("address",AB31),$Z$10))</f>
        <v>W10</v>
      </c>
      <c r="AB31" s="44" t="str">
        <f>IF(AND(G31&lt;&gt;"",G31&lt;&gt;"-",OR(S31=1,S31=2,S31=3)),VLOOKUP(G31,選手登録!$N$8:$V$32,2,FALSE),"-")</f>
        <v>-</v>
      </c>
      <c r="AC31" s="44" t="str">
        <f ca="1">IF(OR(S31=1,S31=2,S31=3),CELL("address",AD31),IF(OR(S31=4),$AC$10,$Z$10))</f>
        <v>W10</v>
      </c>
      <c r="AD31" s="44" t="str">
        <f>IF(AND(G31&lt;&gt;"",G31&lt;&gt;"-",OR(S31=1,S31=2,S31=3)),VLOOKUP(G31,選手登録!$N$8:$V$32,3,FALSE),"-")</f>
        <v>-</v>
      </c>
      <c r="AE31" s="44" t="str">
        <f ca="1">IF(OR(S31=2,S31=3),CELL("address",AF31),IF(OR(S31=1,S31=6),$Z$9,IF(S31=5,"",$Z$10)))</f>
        <v>W10</v>
      </c>
      <c r="AF31" s="44" t="str">
        <f>IF(AND(E31&lt;&gt;"",E31&lt;&gt;"-",OR(S31=2,S31=3)),VLOOKUP(E31,エントリー!$A$8:$H$87,8,TRUE),$Z$10)</f>
        <v>W10</v>
      </c>
      <c r="AG31" s="44" t="str">
        <f ca="1">IF(OR(S31=2,S31=3),CELL("address",AH31),IF(S31=1,VLOOKUP(W31,競技一覧!#REF!,8,TRUE),$Z$10))</f>
        <v>W10</v>
      </c>
      <c r="AH31" s="44" t="str">
        <f>IF(AND(OR(S31=2,S31=3),E31&lt;&gt;"",E31&lt;&gt;"-"),VLOOKUP(E31,エントリー!$A$8:$G$87,10,TRUE),$Y$10)</f>
        <v>-</v>
      </c>
      <c r="AI31" s="44" t="str">
        <f>IF(G31&lt;&gt;"",G31,IF(Z31&lt;&gt;"",Z31,""))</f>
        <v/>
      </c>
      <c r="AK31" s="44" t="str">
        <f t="shared" si="0"/>
        <v/>
      </c>
      <c r="AL31" s="44" t="str">
        <f t="shared" si="1"/>
        <v/>
      </c>
      <c r="AM31" s="44" t="str">
        <f>IF(G31&lt;&gt;"",IFERROR(VLOOKUP(AI31,選手登録!$N$8:$P$57,4,FALSE),""),"")</f>
        <v/>
      </c>
      <c r="AN31" s="44" t="str">
        <f>IF(L31&lt;&gt;"",IFERROR(VLOOKUP(L31,馬匹登録!$B$8:$I$57,6,FALSE),""),"")</f>
        <v/>
      </c>
      <c r="AO31" s="44" t="str">
        <f>IFERROR(VLOOKUP(M31,リスト!$J$2:$K$5,2,FALSE),"")</f>
        <v/>
      </c>
      <c r="AP31" s="44" t="str">
        <f t="shared" si="2"/>
        <v/>
      </c>
      <c r="AQ31" s="44" t="str">
        <f t="shared" si="3"/>
        <v/>
      </c>
      <c r="AR31" s="44" t="str">
        <f t="shared" si="4"/>
        <v/>
      </c>
      <c r="AS31" s="44" t="str">
        <f t="shared" si="5"/>
        <v/>
      </c>
      <c r="AT31" s="44" t="str">
        <f t="shared" si="6"/>
        <v/>
      </c>
      <c r="AU31" s="44" t="str">
        <f t="shared" si="7"/>
        <v/>
      </c>
      <c r="AV31" s="44" t="str">
        <f t="shared" si="8"/>
        <v/>
      </c>
      <c r="AW31" s="44" t="str">
        <f t="shared" si="9"/>
        <v/>
      </c>
      <c r="AX31" s="44" t="str">
        <f t="shared" si="10"/>
        <v/>
      </c>
      <c r="AY31" s="44"/>
      <c r="BA31" s="44">
        <f t="shared" si="19"/>
        <v>0</v>
      </c>
      <c r="BB31" s="44" t="str">
        <f t="shared" si="12"/>
        <v/>
      </c>
      <c r="BC31" s="44">
        <f t="shared" si="13"/>
        <v>9</v>
      </c>
      <c r="BD31" s="44" t="str">
        <f t="shared" si="14"/>
        <v/>
      </c>
      <c r="BE31" s="44" t="str">
        <f t="shared" si="15"/>
        <v/>
      </c>
      <c r="BG31" s="44">
        <f t="shared" si="20"/>
        <v>0</v>
      </c>
      <c r="BH31" s="44" t="str">
        <f t="shared" si="21"/>
        <v/>
      </c>
      <c r="BI31" s="44">
        <f t="shared" si="16"/>
        <v>9</v>
      </c>
      <c r="BJ31" s="44" t="str">
        <f t="shared" si="17"/>
        <v/>
      </c>
      <c r="BK31" s="44" t="str">
        <f t="shared" si="18"/>
        <v/>
      </c>
    </row>
    <row r="32" spans="1:63" ht="22.5" customHeight="1" x14ac:dyDescent="0.4">
      <c r="A32" s="590"/>
      <c r="B32" s="592"/>
      <c r="C32" s="589"/>
      <c r="D32" s="96" t="str">
        <f>IF(OR(S31=2),"変更後","")</f>
        <v/>
      </c>
      <c r="E32" s="56"/>
      <c r="F32" s="99"/>
      <c r="G32" s="99"/>
      <c r="H32" s="99"/>
      <c r="I32" s="99"/>
      <c r="J32" s="99"/>
      <c r="K32" s="99"/>
      <c r="L32" s="99"/>
      <c r="M32" s="102"/>
      <c r="N32" s="54" t="str">
        <f>IF(AND(W32&lt;&gt;"",M32&lt;&gt;"",S31=2),IFERROR(VLOOKUP(W32,競技一覧!#REF!,3+VLOOKUP(M32,リスト!$J$2:$K$5,2,FALSE),FALSE),""),"")</f>
        <v/>
      </c>
      <c r="O32" s="597"/>
      <c r="P32" s="7" t="s">
        <v>8</v>
      </c>
      <c r="Q32" s="92"/>
      <c r="S32" s="44" t="str">
        <f>S31</f>
        <v/>
      </c>
      <c r="T32" s="44" t="str">
        <f>$Z$10</f>
        <v>W10</v>
      </c>
      <c r="U32" s="44" t="str">
        <f>IF(S31=2,$Z$7,$Z$10)</f>
        <v>W10</v>
      </c>
      <c r="V32" s="44"/>
      <c r="W32" s="44" t="str">
        <f>IF(AND(F32&lt;&gt;"",F32&lt;&gt;"-"),VLOOKUP(F32,競技一覧!#REF!,5,FALSE),"")</f>
        <v/>
      </c>
      <c r="X32" s="44" t="str">
        <f>IF(OR(S32=2),$Z$8,$Z$10)</f>
        <v>W10</v>
      </c>
      <c r="Y32" s="44"/>
      <c r="Z32" s="44"/>
      <c r="AA32" s="44" t="str">
        <f>IF(S32=2,$AC$9,IF(S32=4,$AF$7,$Z$10))</f>
        <v>W10</v>
      </c>
      <c r="AB32" s="44" t="str">
        <f>IF(AND(G32&lt;&gt;"",G32&lt;&gt;"-",S32=2),VLOOKUP(G32,選手登録!$N$8:$V$32,2,FALSE),"-")</f>
        <v>-</v>
      </c>
      <c r="AC32" s="44" t="str">
        <f ca="1">IF(OR(S32=2),CELL("address",AD32),IF(OR(S32=4,S32=5),"",$Z$10))</f>
        <v>W10</v>
      </c>
      <c r="AD32" s="44" t="str">
        <f>IF(AND(G32&lt;&gt;"",G32&lt;&gt;"-",S32=2),VLOOKUP(G32,選手登録!$N$8:$V$32,3,FALSE),"-")</f>
        <v>-</v>
      </c>
      <c r="AE32" s="44" t="str">
        <f>IF(OR(S32=2),$Z$9,IF(S32=5,"",$Z$10))</f>
        <v>W10</v>
      </c>
      <c r="AF32" s="44" t="str">
        <f>IF(AND(E32&lt;&gt;"",E32&lt;&gt;"-",OR(S32=2,S32=3)),VLOOKUP(E32,エントリー!$A$8:$H$87,8,TRUE),$Z$10)</f>
        <v>W10</v>
      </c>
      <c r="AG32" s="44" t="str">
        <f>IF(S32=2,VLOOKUP(W32,競技一覧!#REF!,8,TRUE),$Z$10)</f>
        <v>W10</v>
      </c>
      <c r="AH32" s="44"/>
      <c r="AI32" s="44"/>
      <c r="AK32" s="44" t="str">
        <f t="shared" si="0"/>
        <v/>
      </c>
      <c r="AL32" s="44" t="str">
        <f t="shared" si="1"/>
        <v/>
      </c>
      <c r="AM32" s="44" t="str">
        <f>IF(G32&lt;&gt;"",IFERROR(VLOOKUP(AI32,選手登録!$N$8:$P$57,4,FALSE),""),"")</f>
        <v/>
      </c>
      <c r="AN32" s="44" t="str">
        <f>IF(L32&lt;&gt;"",IFERROR(VLOOKUP(L32,馬匹登録!$B$8:$I$57,6,FALSE),""),"")</f>
        <v/>
      </c>
      <c r="AO32" s="44" t="str">
        <f>IFERROR(VLOOKUP(M32,リスト!$J$2:$K$5,2,FALSE),"")</f>
        <v/>
      </c>
      <c r="AP32" s="44" t="str">
        <f t="shared" si="2"/>
        <v/>
      </c>
      <c r="AQ32" s="44" t="str">
        <f t="shared" si="3"/>
        <v/>
      </c>
      <c r="AR32" s="44" t="str">
        <f t="shared" si="4"/>
        <v/>
      </c>
      <c r="AS32" s="44" t="str">
        <f t="shared" si="5"/>
        <v/>
      </c>
      <c r="AT32" s="44" t="str">
        <f t="shared" si="6"/>
        <v/>
      </c>
      <c r="AU32" s="44" t="str">
        <f t="shared" si="7"/>
        <v/>
      </c>
      <c r="AV32" s="44">
        <f t="shared" si="8"/>
        <v>0</v>
      </c>
      <c r="AW32" s="44" t="str">
        <f t="shared" si="9"/>
        <v>-</v>
      </c>
      <c r="AX32" s="44" t="str">
        <f t="shared" si="10"/>
        <v/>
      </c>
      <c r="AY32" s="44"/>
      <c r="BA32" s="44">
        <f t="shared" si="19"/>
        <v>0</v>
      </c>
      <c r="BB32" s="44" t="str">
        <f t="shared" si="12"/>
        <v/>
      </c>
      <c r="BC32" s="44">
        <f t="shared" si="13"/>
        <v>0</v>
      </c>
      <c r="BD32" s="44" t="str">
        <f t="shared" si="14"/>
        <v/>
      </c>
      <c r="BE32" s="44" t="str">
        <f t="shared" si="15"/>
        <v/>
      </c>
      <c r="BG32" s="44">
        <f t="shared" si="20"/>
        <v>0</v>
      </c>
      <c r="BH32" s="44"/>
      <c r="BI32" s="44">
        <f t="shared" si="16"/>
        <v>0</v>
      </c>
      <c r="BJ32" s="44" t="str">
        <f t="shared" si="17"/>
        <v/>
      </c>
      <c r="BK32" s="44" t="str">
        <f t="shared" si="18"/>
        <v/>
      </c>
    </row>
    <row r="33" spans="1:63" ht="22.5" customHeight="1" x14ac:dyDescent="0.4">
      <c r="A33" s="585">
        <v>10</v>
      </c>
      <c r="B33" s="591"/>
      <c r="C33" s="587"/>
      <c r="D33" s="95" t="str">
        <f>IF(OR(S33=2),"変更前","")</f>
        <v/>
      </c>
      <c r="E33" s="55"/>
      <c r="F33" s="98"/>
      <c r="G33" s="98"/>
      <c r="H33" s="98"/>
      <c r="I33" s="98"/>
      <c r="J33" s="98"/>
      <c r="K33" s="98"/>
      <c r="L33" s="98"/>
      <c r="M33" s="101"/>
      <c r="N33" s="85" t="str">
        <f>IF(AND(W33&lt;&gt;"",M33&lt;&gt;"",OR(S33=1,S33=2,S33=3)),IFERROR(VLOOKUP(W33,競技一覧!#REF!,3+VLOOKUP(M33,リスト!$J$2:$K$5,2,FALSE),FALSE) * IF(S33=1,1,-1),""),IF(S33=5,マスタ!$C$15,IF(S33=6,-1*マスタ!$C$15,"")))</f>
        <v/>
      </c>
      <c r="O33" s="606" t="str">
        <f>IF($C33&lt;&gt;"",IFERROR(VALUE(N34),0)+IFERROR(VALUE(N33),0),"")</f>
        <v/>
      </c>
      <c r="P33" s="5" t="str">
        <f>IF(OR($S33=1,$S33=2,$S33=3),マスタ!$C$16,IF($C33&lt;&gt;"",0,""))</f>
        <v/>
      </c>
      <c r="Q33" s="91"/>
      <c r="S33" s="44" t="str">
        <f>IF(C33&lt;&gt;"",VLOOKUP(C33,リスト!$R$2:$S$9,2,FALSE),"")</f>
        <v/>
      </c>
      <c r="T33" s="44" t="str">
        <f>IF(OR(S33=2,S33=3),$AC$7,$Z$10)</f>
        <v>W10</v>
      </c>
      <c r="U33" s="44" t="str">
        <f ca="1">IF(OR(S33=2,S33=3),CELL("address",V33),IF(S33=1,$Z$7,$Z$10))</f>
        <v>W10</v>
      </c>
      <c r="V33" s="44" t="str">
        <f>IF(AND(OR(S33=2, S33=3),E33&lt;&gt;"",E33&lt;&gt;"-"),VLOOKUP(E33,エントリー!$A$8:$H$87,6,TRUE),"-")</f>
        <v>-</v>
      </c>
      <c r="W33" s="44" t="str">
        <f>IF(AND(F33&lt;&gt;"",F33&lt;&gt;"-"),VLOOKUP(F33,競技一覧!#REF!,5,FALSE),"")</f>
        <v/>
      </c>
      <c r="X33" s="44" t="str">
        <f ca="1">IF(OR(S33=2,S33=3),CELL("address",Y33),IF(OR(S33=4),CELL("address",Z33),IF(S33=1,$Z$8,$Z$10)))</f>
        <v>W10</v>
      </c>
      <c r="Y33" s="44" t="str">
        <f>IF(AND(E33&lt;&gt;"",E33&lt;&gt;"-"),VLOOKUP(E33,エントリー!$A$8:$H$87,7,TRUE),"-")</f>
        <v>-</v>
      </c>
      <c r="Z33" s="44" t="str">
        <f>IF(S33=4,H33 &amp; " " &amp; I33,"")</f>
        <v/>
      </c>
      <c r="AA33" s="44" t="str">
        <f ca="1">IF(S33=4,$AC$9,IF(OR(S33=1,S33=2,S33=3),CELL("address",AB33),$Z$10))</f>
        <v>W10</v>
      </c>
      <c r="AB33" s="44" t="str">
        <f>IF(AND(G33&lt;&gt;"",G33&lt;&gt;"-",OR(S33=1,S33=2,S33=3)),VLOOKUP(G33,選手登録!$N$8:$V$32,2,FALSE),"-")</f>
        <v>-</v>
      </c>
      <c r="AC33" s="44" t="str">
        <f ca="1">IF(OR(S33=1,S33=2,S33=3),CELL("address",AD33),IF(OR(S33=4),$AC$10,$Z$10))</f>
        <v>W10</v>
      </c>
      <c r="AD33" s="44" t="str">
        <f>IF(AND(G33&lt;&gt;"",G33&lt;&gt;"-",OR(S33=1,S33=2,S33=3)),VLOOKUP(G33,選手登録!$N$8:$V$32,3,FALSE),"-")</f>
        <v>-</v>
      </c>
      <c r="AE33" s="44" t="str">
        <f ca="1">IF(OR(S33=2,S33=3),CELL("address",AF33),IF(OR(S33=1,S33=6),$Z$9,IF(S33=5,"",$Z$10)))</f>
        <v>W10</v>
      </c>
      <c r="AF33" s="44" t="str">
        <f>IF(AND(E33&lt;&gt;"",E33&lt;&gt;"-",OR(S33=2,S33=3)),VLOOKUP(E33,エントリー!$A$8:$H$87,8,TRUE),$Z$10)</f>
        <v>W10</v>
      </c>
      <c r="AG33" s="44" t="str">
        <f ca="1">IF(OR(S33=2,S33=3),CELL("address",AH33),IF(S33=1,VLOOKUP(W33,競技一覧!#REF!,8,TRUE),$Z$10))</f>
        <v>W10</v>
      </c>
      <c r="AH33" s="44" t="str">
        <f>IF(AND(OR(S33=2,S33=3),E33&lt;&gt;"",E33&lt;&gt;"-"),VLOOKUP(E33,エントリー!$A$8:$G$87,10,TRUE),$Y$10)</f>
        <v>-</v>
      </c>
      <c r="AI33" s="44" t="str">
        <f>IF(G33&lt;&gt;"",G33,IF(Z33&lt;&gt;"",Z33,""))</f>
        <v/>
      </c>
      <c r="AK33" s="44" t="str">
        <f t="shared" si="0"/>
        <v/>
      </c>
      <c r="AL33" s="44" t="str">
        <f t="shared" si="1"/>
        <v/>
      </c>
      <c r="AM33" s="44" t="str">
        <f>IF(G33&lt;&gt;"",IFERROR(VLOOKUP(AI33,選手登録!$N$8:$P$57,4,FALSE),""),"")</f>
        <v/>
      </c>
      <c r="AN33" s="44" t="str">
        <f>IF(L33&lt;&gt;"",IFERROR(VLOOKUP(L33,馬匹登録!$B$8:$I$57,6,FALSE),""),"")</f>
        <v/>
      </c>
      <c r="AO33" s="44" t="str">
        <f>IFERROR(VLOOKUP(M33,リスト!$J$2:$K$5,2,FALSE),"")</f>
        <v/>
      </c>
      <c r="AP33" s="44" t="str">
        <f t="shared" si="2"/>
        <v/>
      </c>
      <c r="AQ33" s="44" t="str">
        <f t="shared" si="3"/>
        <v/>
      </c>
      <c r="AR33" s="44" t="str">
        <f t="shared" si="4"/>
        <v/>
      </c>
      <c r="AS33" s="44" t="str">
        <f t="shared" si="5"/>
        <v/>
      </c>
      <c r="AT33" s="44" t="str">
        <f t="shared" si="6"/>
        <v/>
      </c>
      <c r="AU33" s="44" t="str">
        <f t="shared" si="7"/>
        <v/>
      </c>
      <c r="AV33" s="44" t="str">
        <f t="shared" si="8"/>
        <v/>
      </c>
      <c r="AW33" s="44" t="str">
        <f t="shared" si="9"/>
        <v/>
      </c>
      <c r="AX33" s="44" t="str">
        <f t="shared" si="10"/>
        <v/>
      </c>
      <c r="AY33" s="44"/>
      <c r="BA33" s="44">
        <f t="shared" si="19"/>
        <v>0</v>
      </c>
      <c r="BB33" s="44" t="str">
        <f t="shared" si="12"/>
        <v/>
      </c>
      <c r="BC33" s="44">
        <f t="shared" si="13"/>
        <v>10</v>
      </c>
      <c r="BD33" s="44" t="str">
        <f t="shared" si="14"/>
        <v/>
      </c>
      <c r="BE33" s="44" t="str">
        <f t="shared" si="15"/>
        <v/>
      </c>
      <c r="BG33" s="44">
        <f t="shared" si="20"/>
        <v>0</v>
      </c>
      <c r="BH33" s="44" t="str">
        <f t="shared" si="21"/>
        <v/>
      </c>
      <c r="BI33" s="44">
        <f t="shared" si="16"/>
        <v>10</v>
      </c>
      <c r="BJ33" s="44" t="str">
        <f t="shared" si="17"/>
        <v/>
      </c>
      <c r="BK33" s="44" t="str">
        <f t="shared" si="18"/>
        <v/>
      </c>
    </row>
    <row r="34" spans="1:63" ht="22.5" customHeight="1" thickBot="1" x14ac:dyDescent="0.45">
      <c r="A34" s="586"/>
      <c r="B34" s="593"/>
      <c r="C34" s="588"/>
      <c r="D34" s="97" t="str">
        <f>IF(OR(S33=2),"変更後","")</f>
        <v/>
      </c>
      <c r="E34" s="59"/>
      <c r="F34" s="100"/>
      <c r="G34" s="100"/>
      <c r="H34" s="100"/>
      <c r="I34" s="100"/>
      <c r="J34" s="100"/>
      <c r="K34" s="100"/>
      <c r="L34" s="100"/>
      <c r="M34" s="103"/>
      <c r="N34" s="104" t="str">
        <f>IF(AND(W34&lt;&gt;"",M34&lt;&gt;"",S33=2),IFERROR(VLOOKUP(W34,競技一覧!#REF!,3+VLOOKUP(M34,リスト!$J$2:$K$5,2,FALSE),FALSE),""),"")</f>
        <v/>
      </c>
      <c r="O34" s="614"/>
      <c r="P34" s="108" t="s">
        <v>8</v>
      </c>
      <c r="Q34" s="93"/>
      <c r="S34" s="44" t="str">
        <f>S33</f>
        <v/>
      </c>
      <c r="T34" s="44" t="str">
        <f>$Z$10</f>
        <v>W10</v>
      </c>
      <c r="U34" s="44" t="str">
        <f>IF(S33=2,$Z$7,$Z$10)</f>
        <v>W10</v>
      </c>
      <c r="V34" s="44"/>
      <c r="W34" s="44" t="str">
        <f>IF(AND(F34&lt;&gt;"",F34&lt;&gt;"-"),VLOOKUP(F34,競技一覧!#REF!,5,FALSE),"")</f>
        <v/>
      </c>
      <c r="X34" s="44" t="str">
        <f>IF(OR(S34=2),$Z$8,$Z$10)</f>
        <v>W10</v>
      </c>
      <c r="Y34" s="44"/>
      <c r="Z34" s="44"/>
      <c r="AA34" s="44" t="str">
        <f>IF(S34=2,$AC$9,IF(S34=4,$AF$7,$Z$10))</f>
        <v>W10</v>
      </c>
      <c r="AB34" s="44" t="str">
        <f>IF(AND(G34&lt;&gt;"",G34&lt;&gt;"-",S34=2),VLOOKUP(G34,選手登録!$N$8:$V$32,2,FALSE),"-")</f>
        <v>-</v>
      </c>
      <c r="AC34" s="44" t="str">
        <f ca="1">IF(OR(S34=2),CELL("address",AD34),IF(OR(S34=4,S34=5),"",$Z$10))</f>
        <v>W10</v>
      </c>
      <c r="AD34" s="44" t="str">
        <f>IF(AND(G34&lt;&gt;"",G34&lt;&gt;"-",S34=2),VLOOKUP(G34,選手登録!$N$8:$V$32,3,FALSE),"-")</f>
        <v>-</v>
      </c>
      <c r="AE34" s="44" t="str">
        <f>IF(OR(S34=2),$Z$9,IF(S34=5,"",$Z$10))</f>
        <v>W10</v>
      </c>
      <c r="AF34" s="44" t="str">
        <f>IF(AND(E34&lt;&gt;"",E34&lt;&gt;"-",OR(S34=2,S34=3)),VLOOKUP(E34,エントリー!$A$8:$H$87,8,TRUE),$Z$10)</f>
        <v>W10</v>
      </c>
      <c r="AG34" s="44" t="str">
        <f>IF(S34=2,VLOOKUP(W34,競技一覧!#REF!,8,TRUE),$Z$10)</f>
        <v>W10</v>
      </c>
      <c r="AH34" s="44"/>
      <c r="AI34" s="44"/>
      <c r="AK34" s="44" t="str">
        <f t="shared" si="0"/>
        <v/>
      </c>
      <c r="AL34" s="44" t="str">
        <f t="shared" si="1"/>
        <v/>
      </c>
      <c r="AM34" s="44" t="str">
        <f>IF(G34&lt;&gt;"",IFERROR(VLOOKUP(AI34,選手登録!$N$8:$P$57,4,FALSE),""),"")</f>
        <v/>
      </c>
      <c r="AN34" s="44" t="str">
        <f>IF(L34&lt;&gt;"",IFERROR(VLOOKUP(L34,馬匹登録!$B$8:$I$57,6,FALSE),""),"")</f>
        <v/>
      </c>
      <c r="AO34" s="44" t="str">
        <f>IFERROR(VLOOKUP(M34,リスト!$J$2:$K$5,2,FALSE),"")</f>
        <v/>
      </c>
      <c r="AP34" s="44" t="str">
        <f t="shared" si="2"/>
        <v/>
      </c>
      <c r="AQ34" s="44" t="str">
        <f t="shared" si="3"/>
        <v/>
      </c>
      <c r="AR34" s="44" t="str">
        <f t="shared" si="4"/>
        <v/>
      </c>
      <c r="AS34" s="44" t="str">
        <f t="shared" si="5"/>
        <v/>
      </c>
      <c r="AT34" s="44" t="str">
        <f t="shared" si="6"/>
        <v/>
      </c>
      <c r="AU34" s="44" t="str">
        <f t="shared" si="7"/>
        <v/>
      </c>
      <c r="AV34" s="44">
        <f t="shared" si="8"/>
        <v>0</v>
      </c>
      <c r="AW34" s="44" t="str">
        <f t="shared" si="9"/>
        <v>-</v>
      </c>
      <c r="AX34" s="44" t="str">
        <f t="shared" si="10"/>
        <v/>
      </c>
      <c r="AY34" s="44"/>
      <c r="BA34" s="44">
        <f t="shared" si="19"/>
        <v>0</v>
      </c>
      <c r="BB34" s="44" t="str">
        <f t="shared" si="12"/>
        <v/>
      </c>
      <c r="BC34" s="44">
        <f t="shared" si="13"/>
        <v>0</v>
      </c>
      <c r="BD34" s="44" t="str">
        <f t="shared" si="14"/>
        <v/>
      </c>
      <c r="BE34" s="44" t="str">
        <f t="shared" si="15"/>
        <v/>
      </c>
      <c r="BG34" s="44">
        <f t="shared" si="20"/>
        <v>0</v>
      </c>
      <c r="BH34" s="44"/>
      <c r="BI34" s="44">
        <f t="shared" si="16"/>
        <v>0</v>
      </c>
      <c r="BJ34" s="44" t="str">
        <f t="shared" si="17"/>
        <v/>
      </c>
      <c r="BK34" s="44" t="str">
        <f t="shared" si="18"/>
        <v/>
      </c>
    </row>
    <row r="35" spans="1:63" ht="22.5" customHeight="1" x14ac:dyDescent="0.4">
      <c r="A35" s="585">
        <v>11</v>
      </c>
      <c r="B35" s="613"/>
      <c r="C35" s="587"/>
      <c r="D35" s="95" t="str">
        <f>IF(OR(S35=2),"変更前","")</f>
        <v/>
      </c>
      <c r="E35" s="55"/>
      <c r="F35" s="98"/>
      <c r="G35" s="98"/>
      <c r="H35" s="98"/>
      <c r="I35" s="98"/>
      <c r="J35" s="98"/>
      <c r="K35" s="98"/>
      <c r="L35" s="98"/>
      <c r="M35" s="105"/>
      <c r="N35" s="107" t="str">
        <f>IF(AND(W35&lt;&gt;"",M35&lt;&gt;"",OR(S35=1,S35=2,S35=3)),IFERROR(VLOOKUP(W35,競技一覧!#REF!,3+VLOOKUP(M35,リスト!$J$2:$K$5,2,FALSE),FALSE) * IF(S35=1,1,-1),""),IF(S35=5,マスタ!$C$15,IF(S35=6,-1*マスタ!$C$15,"")))</f>
        <v/>
      </c>
      <c r="O35" s="615" t="str">
        <f>IF($C35&lt;&gt;"",IFERROR(VALUE(N36),0)+IFERROR(VALUE(N35),0),"")</f>
        <v/>
      </c>
      <c r="P35" s="3" t="str">
        <f>IF(OR($S35=1,$S35=2,$S35=3),マスタ!$C$16,IF($C35&lt;&gt;"",0,""))</f>
        <v/>
      </c>
      <c r="Q35" s="94"/>
      <c r="S35" s="44" t="str">
        <f>IF(C35&lt;&gt;"",VLOOKUP(C35,リスト!$R$2:$S$9,2,FALSE),"")</f>
        <v/>
      </c>
      <c r="T35" s="44" t="str">
        <f>IF(OR(S35=2,S35=3),$AC$7,$Z$10)</f>
        <v>W10</v>
      </c>
      <c r="U35" s="44" t="str">
        <f ca="1">IF(OR(S35=2,S35=3),CELL("address",V35),IF(S35=1,$Z$7,$Z$10))</f>
        <v>W10</v>
      </c>
      <c r="V35" s="44" t="str">
        <f>IF(AND(OR(S35=2, S35=3),E35&lt;&gt;"",E35&lt;&gt;"-"),VLOOKUP(E35,エントリー!$A$8:$H$87,6,TRUE),"-")</f>
        <v>-</v>
      </c>
      <c r="W35" s="44" t="str">
        <f>IF(AND(F35&lt;&gt;"",F35&lt;&gt;"-"),VLOOKUP(F35,競技一覧!#REF!,5,FALSE),"")</f>
        <v/>
      </c>
      <c r="X35" s="44" t="str">
        <f ca="1">IF(OR(S35=2,S35=3),CELL("address",Y35),IF(OR(S35=4),CELL("address",Z35),IF(S35=1,$Z$8,$Z$10)))</f>
        <v>W10</v>
      </c>
      <c r="Y35" s="44" t="str">
        <f>IF(AND(E35&lt;&gt;"",E35&lt;&gt;"-"),VLOOKUP(E35,エントリー!$A$8:$H$87,7,TRUE),"-")</f>
        <v>-</v>
      </c>
      <c r="Z35" s="44" t="str">
        <f>IF(S35=4,H35 &amp; " " &amp; I35,"")</f>
        <v/>
      </c>
      <c r="AA35" s="44" t="str">
        <f ca="1">IF(S35=4,$AC$9,IF(OR(S35=1,S35=2,S35=3),CELL("address",AB35),$Z$10))</f>
        <v>W10</v>
      </c>
      <c r="AB35" s="44" t="str">
        <f>IF(AND(G35&lt;&gt;"",G35&lt;&gt;"-",OR(S35=1,S35=2,S35=3)),VLOOKUP(G35,選手登録!$N$8:$V$32,2,FALSE),"-")</f>
        <v>-</v>
      </c>
      <c r="AC35" s="44" t="str">
        <f ca="1">IF(OR(S35=1,S35=2,S35=3),CELL("address",AD35),IF(OR(S35=4),$AC$10,$Z$10))</f>
        <v>W10</v>
      </c>
      <c r="AD35" s="44" t="str">
        <f>IF(AND(G35&lt;&gt;"",G35&lt;&gt;"-",OR(S35=1,S35=2,S35=3)),VLOOKUP(G35,選手登録!$N$8:$V$32,3,FALSE),"-")</f>
        <v>-</v>
      </c>
      <c r="AE35" s="44" t="str">
        <f ca="1">IF(OR(S35=2,S35=3),CELL("address",AF35),IF(OR(S35=1,S35=6),$Z$9,IF(S35=5,"",$Z$10)))</f>
        <v>W10</v>
      </c>
      <c r="AF35" s="44" t="str">
        <f>IF(AND(E35&lt;&gt;"",E35&lt;&gt;"-",OR(S35=2,S35=3)),VLOOKUP(E35,エントリー!$A$8:$H$87,8,TRUE),$Z$10)</f>
        <v>W10</v>
      </c>
      <c r="AG35" s="44" t="str">
        <f ca="1">IF(OR(S35=2,S35=3),CELL("address",AH35),IF(S35=1,VLOOKUP(W35,競技一覧!#REF!,8,TRUE),$Z$10))</f>
        <v>W10</v>
      </c>
      <c r="AH35" s="44" t="str">
        <f>IF(AND(OR(S35=2,S35=3),E35&lt;&gt;"",E35&lt;&gt;"-"),VLOOKUP(E35,エントリー!$A$8:$G$87,10,TRUE),$Y$10)</f>
        <v>-</v>
      </c>
      <c r="AI35" s="44" t="str">
        <f>IF(G35&lt;&gt;"",G35,IF(Z35&lt;&gt;"",Z35,""))</f>
        <v/>
      </c>
      <c r="AK35" s="44" t="str">
        <f>S35</f>
        <v/>
      </c>
      <c r="AL35" s="44" t="str">
        <f>W35</f>
        <v/>
      </c>
      <c r="AM35" s="44" t="str">
        <f>IF(G35&lt;&gt;"",IFERROR(VLOOKUP(AI35,選手登録!$N$8:$P$57,4,FALSE),""),"")</f>
        <v/>
      </c>
      <c r="AN35" s="44" t="str">
        <f>IF(L35&lt;&gt;"",IFERROR(VLOOKUP(L35,馬匹登録!$B$8:$I$57,6,FALSE),""),"")</f>
        <v/>
      </c>
      <c r="AO35" s="44" t="str">
        <f>IFERROR(VLOOKUP(M35,リスト!$J$2:$K$5,2,FALSE),"")</f>
        <v/>
      </c>
      <c r="AP35" s="44" t="str">
        <f>IF($S35=4,H35,"")</f>
        <v/>
      </c>
      <c r="AQ35" s="44" t="str">
        <f t="shared" si="3"/>
        <v/>
      </c>
      <c r="AR35" s="44" t="str">
        <f t="shared" si="4"/>
        <v/>
      </c>
      <c r="AS35" s="44" t="str">
        <f>IF(OR($S35=4,$S35=5),K35,"")</f>
        <v/>
      </c>
      <c r="AT35" s="44" t="str">
        <f>IF($S35=5,L35,"")</f>
        <v/>
      </c>
      <c r="AU35" s="44" t="str">
        <f>N35</f>
        <v/>
      </c>
      <c r="AV35" s="44" t="str">
        <f t="shared" si="8"/>
        <v/>
      </c>
      <c r="AW35" s="44" t="str">
        <f t="shared" si="9"/>
        <v/>
      </c>
      <c r="AX35" s="44" t="str">
        <f t="shared" si="10"/>
        <v/>
      </c>
      <c r="AY35" s="44"/>
      <c r="BA35" s="44">
        <f t="shared" si="19"/>
        <v>0</v>
      </c>
      <c r="BB35" s="44" t="str">
        <f t="shared" si="12"/>
        <v/>
      </c>
      <c r="BC35" s="44">
        <f t="shared" si="13"/>
        <v>11</v>
      </c>
      <c r="BD35" s="44" t="str">
        <f t="shared" si="14"/>
        <v/>
      </c>
      <c r="BE35" s="44" t="str">
        <f t="shared" si="15"/>
        <v/>
      </c>
      <c r="BG35" s="44">
        <f t="shared" si="20"/>
        <v>0</v>
      </c>
      <c r="BH35" s="44" t="str">
        <f t="shared" si="21"/>
        <v/>
      </c>
      <c r="BI35" s="44">
        <f t="shared" si="16"/>
        <v>11</v>
      </c>
      <c r="BJ35" s="44" t="str">
        <f t="shared" si="17"/>
        <v/>
      </c>
      <c r="BK35" s="44" t="str">
        <f t="shared" si="18"/>
        <v/>
      </c>
    </row>
    <row r="36" spans="1:63" ht="22.5" customHeight="1" x14ac:dyDescent="0.4">
      <c r="A36" s="590"/>
      <c r="B36" s="592"/>
      <c r="C36" s="589"/>
      <c r="D36" s="96" t="str">
        <f>IF(OR(S35=2),"変更後","")</f>
        <v/>
      </c>
      <c r="E36" s="56"/>
      <c r="F36" s="99"/>
      <c r="G36" s="99"/>
      <c r="H36" s="99"/>
      <c r="I36" s="99"/>
      <c r="J36" s="99"/>
      <c r="K36" s="99"/>
      <c r="L36" s="99"/>
      <c r="M36" s="102"/>
      <c r="N36" s="54" t="str">
        <f>IF(AND(W36&lt;&gt;"",M36&lt;&gt;"",S35=2),IFERROR(VLOOKUP(W36,競技一覧!#REF!,3+VLOOKUP(M36,リスト!$J$2:$K$5,2,FALSE),FALSE),""),"")</f>
        <v/>
      </c>
      <c r="O36" s="597"/>
      <c r="P36" s="7" t="s">
        <v>162</v>
      </c>
      <c r="Q36" s="92"/>
      <c r="S36" s="44" t="str">
        <f>S35</f>
        <v/>
      </c>
      <c r="T36" s="44" t="str">
        <f>$Z$10</f>
        <v>W10</v>
      </c>
      <c r="U36" s="44" t="str">
        <f>IF(S35=2,$Z$7,$Z$10)</f>
        <v>W10</v>
      </c>
      <c r="V36" s="44"/>
      <c r="W36" s="44" t="str">
        <f>IF(AND(F36&lt;&gt;"",F36&lt;&gt;"-"),VLOOKUP(F36,競技一覧!#REF!,5,FALSE),"")</f>
        <v/>
      </c>
      <c r="X36" s="44" t="str">
        <f>IF(OR(S36=2),$Z$8,$Z$10)</f>
        <v>W10</v>
      </c>
      <c r="Y36" s="44"/>
      <c r="Z36" s="44"/>
      <c r="AA36" s="44" t="str">
        <f>IF(S36=2,$AC$9,IF(S36=4,$AF$7,$Z$10))</f>
        <v>W10</v>
      </c>
      <c r="AB36" s="44" t="str">
        <f>IF(AND(G36&lt;&gt;"",G36&lt;&gt;"-",S36=2),VLOOKUP(G36,選手登録!$N$8:$V$32,2,FALSE),"-")</f>
        <v>-</v>
      </c>
      <c r="AC36" s="44" t="str">
        <f ca="1">IF(OR(S36=2),CELL("address",AD36),IF(OR(S36=4,S36=5),"",$Z$10))</f>
        <v>W10</v>
      </c>
      <c r="AD36" s="44" t="str">
        <f>IF(AND(G36&lt;&gt;"",G36&lt;&gt;"-",S36=2),VLOOKUP(G36,選手登録!$N$8:$V$32,3,FALSE),"-")</f>
        <v>-</v>
      </c>
      <c r="AE36" s="44" t="str">
        <f>IF(OR(S36=2),$Z$9,IF(S36=5,"",$Z$10))</f>
        <v>W10</v>
      </c>
      <c r="AF36" s="44" t="str">
        <f>IF(AND(E36&lt;&gt;"",E36&lt;&gt;"-",OR(S36=2,S36=3)),VLOOKUP(E36,エントリー!$A$8:$H$87,8,TRUE),$Z$10)</f>
        <v>W10</v>
      </c>
      <c r="AG36" s="44" t="str">
        <f>IF(S36=2,VLOOKUP(W36,競技一覧!#REF!,8,TRUE),$Z$10)</f>
        <v>W10</v>
      </c>
      <c r="AH36" s="44"/>
      <c r="AI36" s="44"/>
      <c r="AK36" s="44" t="str">
        <f t="shared" ref="AK36:AK54" si="22">S36</f>
        <v/>
      </c>
      <c r="AL36" s="44" t="str">
        <f t="shared" ref="AL36:AL54" si="23">W36</f>
        <v/>
      </c>
      <c r="AM36" s="44" t="str">
        <f>IF(G36&lt;&gt;"",IFERROR(VLOOKUP(AI36,選手登録!$N$8:$P$57,4,FALSE),""),"")</f>
        <v/>
      </c>
      <c r="AN36" s="44" t="str">
        <f>IF(L36&lt;&gt;"",IFERROR(VLOOKUP(L36,馬匹登録!$B$8:$I$57,6,FALSE),""),"")</f>
        <v/>
      </c>
      <c r="AO36" s="44" t="str">
        <f>IFERROR(VLOOKUP(M36,リスト!$J$2:$K$5,2,FALSE),"")</f>
        <v/>
      </c>
      <c r="AP36" s="44" t="str">
        <f t="shared" ref="AP36:AP54" si="24">IF($S36=4,H36,"")</f>
        <v/>
      </c>
      <c r="AQ36" s="44" t="str">
        <f t="shared" ref="AQ36:AQ54" si="25">IF($S36=4,I36,"")</f>
        <v/>
      </c>
      <c r="AR36" s="44" t="str">
        <f t="shared" ref="AR36:AR54" si="26">IF($S36=4,J36,"")</f>
        <v/>
      </c>
      <c r="AS36" s="44" t="str">
        <f t="shared" ref="AS36:AS54" si="27">IF(OR($S36=4,$S36=5),K36,"")</f>
        <v/>
      </c>
      <c r="AT36" s="44" t="str">
        <f t="shared" ref="AT36:AT54" si="28">IF($S36=5,L36,"")</f>
        <v/>
      </c>
      <c r="AU36" s="44" t="str">
        <f t="shared" ref="AU36:AU54" si="29">N36</f>
        <v/>
      </c>
      <c r="AV36" s="44">
        <f t="shared" ref="AV36:AV53" si="30">O36</f>
        <v>0</v>
      </c>
      <c r="AW36" s="44" t="str">
        <f t="shared" ref="AW36:AW54" si="31">P36</f>
        <v>-</v>
      </c>
      <c r="AX36" s="44" t="str">
        <f t="shared" si="10"/>
        <v/>
      </c>
      <c r="AY36" s="44"/>
      <c r="BA36" s="44">
        <f t="shared" si="19"/>
        <v>0</v>
      </c>
      <c r="BB36" s="44" t="str">
        <f t="shared" si="12"/>
        <v/>
      </c>
      <c r="BC36" s="44">
        <f t="shared" si="13"/>
        <v>0</v>
      </c>
      <c r="BD36" s="44" t="str">
        <f t="shared" si="14"/>
        <v/>
      </c>
      <c r="BE36" s="44" t="str">
        <f t="shared" si="15"/>
        <v/>
      </c>
      <c r="BG36" s="44">
        <f t="shared" si="20"/>
        <v>0</v>
      </c>
      <c r="BH36" s="44"/>
      <c r="BI36" s="44">
        <f t="shared" si="16"/>
        <v>0</v>
      </c>
      <c r="BJ36" s="44" t="str">
        <f t="shared" si="17"/>
        <v/>
      </c>
      <c r="BK36" s="44" t="str">
        <f t="shared" si="18"/>
        <v/>
      </c>
    </row>
    <row r="37" spans="1:63" ht="22.5" customHeight="1" x14ac:dyDescent="0.4">
      <c r="A37" s="585">
        <v>12</v>
      </c>
      <c r="B37" s="591"/>
      <c r="C37" s="587"/>
      <c r="D37" s="95" t="str">
        <f>IF(OR(S37=2),"変更前","")</f>
        <v/>
      </c>
      <c r="E37" s="55"/>
      <c r="F37" s="98"/>
      <c r="G37" s="98"/>
      <c r="H37" s="98"/>
      <c r="I37" s="98"/>
      <c r="J37" s="98"/>
      <c r="K37" s="98"/>
      <c r="L37" s="98"/>
      <c r="M37" s="101"/>
      <c r="N37" s="85" t="str">
        <f>IF(AND(W37&lt;&gt;"",M37&lt;&gt;"",OR(S37=1,S37=2,S37=3)),IFERROR(VLOOKUP(W37,競技一覧!#REF!,3+VLOOKUP(M37,リスト!$J$2:$K$5,2,FALSE),FALSE) * IF(S37=1,1,-1),""),IF(S37=5,マスタ!$C$15,IF(S37=6,-1*マスタ!$C$15,"")))</f>
        <v/>
      </c>
      <c r="O37" s="606" t="str">
        <f>IF($C37&lt;&gt;"",IFERROR(VALUE(N38),0)+IFERROR(VALUE(N37),0),"")</f>
        <v/>
      </c>
      <c r="P37" s="5" t="str">
        <f>IF(OR($S37=1,$S37=2,$S37=3),マスタ!$C$16,IF($C37&lt;&gt;"",0,""))</f>
        <v/>
      </c>
      <c r="Q37" s="91"/>
      <c r="S37" s="44" t="str">
        <f>IF(C37&lt;&gt;"",VLOOKUP(C37,リスト!$R$2:$S$9,2,FALSE),"")</f>
        <v/>
      </c>
      <c r="T37" s="44" t="str">
        <f>IF(OR(S37=2,S37=3),$AC$7,$Z$10)</f>
        <v>W10</v>
      </c>
      <c r="U37" s="44" t="str">
        <f ca="1">IF(OR(S37=2,S37=3),CELL("address",V37),IF(S37=1,$Z$7,$Z$10))</f>
        <v>W10</v>
      </c>
      <c r="V37" s="44" t="str">
        <f>IF(AND(OR(S37=2, S37=3),E37&lt;&gt;"",E37&lt;&gt;"-"),VLOOKUP(E37,エントリー!$A$8:$H$87,6,TRUE),"-")</f>
        <v>-</v>
      </c>
      <c r="W37" s="44" t="str">
        <f>IF(AND(F37&lt;&gt;"",F37&lt;&gt;"-"),VLOOKUP(F37,競技一覧!#REF!,5,FALSE),"")</f>
        <v/>
      </c>
      <c r="X37" s="44" t="str">
        <f ca="1">IF(OR(S37=2,S37=3),CELL("address",Y37),IF(OR(S37=4),CELL("address",Z37),IF(S37=1,$Z$8,$Z$10)))</f>
        <v>W10</v>
      </c>
      <c r="Y37" s="44" t="str">
        <f>IF(AND(E37&lt;&gt;"",E37&lt;&gt;"-"),VLOOKUP(E37,エントリー!$A$8:$H$87,7,TRUE),"-")</f>
        <v>-</v>
      </c>
      <c r="Z37" s="44" t="str">
        <f>IF(S37=4,H37 &amp; " " &amp; I37,"")</f>
        <v/>
      </c>
      <c r="AA37" s="44" t="str">
        <f ca="1">IF(S37=4,$AC$9,IF(OR(S37=1,S37=2,S37=3),CELL("address",AB37),$Z$10))</f>
        <v>W10</v>
      </c>
      <c r="AB37" s="44" t="str">
        <f>IF(AND(G37&lt;&gt;"",G37&lt;&gt;"-",OR(S37=1,S37=2,S37=3)),VLOOKUP(G37,選手登録!$N$8:$V$32,2,FALSE),"-")</f>
        <v>-</v>
      </c>
      <c r="AC37" s="44" t="str">
        <f ca="1">IF(OR(S37=1,S37=2,S37=3),CELL("address",AD37),IF(OR(S37=4),$AC$10,$Z$10))</f>
        <v>W10</v>
      </c>
      <c r="AD37" s="44" t="str">
        <f>IF(AND(G37&lt;&gt;"",G37&lt;&gt;"-",OR(S37=1,S37=2,S37=3)),VLOOKUP(G37,選手登録!$N$8:$V$32,3,FALSE),"-")</f>
        <v>-</v>
      </c>
      <c r="AE37" s="44" t="str">
        <f ca="1">IF(OR(S37=2,S37=3),CELL("address",AF37),IF(OR(S37=1,S37=6),$Z$9,IF(S37=5,"",$Z$10)))</f>
        <v>W10</v>
      </c>
      <c r="AF37" s="44" t="str">
        <f>IF(AND(E37&lt;&gt;"",E37&lt;&gt;"-",OR(S37=2,S37=3)),VLOOKUP(E37,エントリー!$A$8:$H$87,8,TRUE),$Z$10)</f>
        <v>W10</v>
      </c>
      <c r="AG37" s="44" t="str">
        <f ca="1">IF(OR(S37=2,S37=3),CELL("address",AH37),IF(S37=1,VLOOKUP(W37,競技一覧!#REF!,8,TRUE),$Z$10))</f>
        <v>W10</v>
      </c>
      <c r="AH37" s="44" t="str">
        <f>IF(AND(OR(S37=2,S37=3),E37&lt;&gt;"",E37&lt;&gt;"-"),VLOOKUP(E37,エントリー!$A$8:$G$87,10,TRUE),$Y$10)</f>
        <v>-</v>
      </c>
      <c r="AI37" s="44" t="str">
        <f>IF(G37&lt;&gt;"",G37,IF(Z37&lt;&gt;"",Z37,""))</f>
        <v/>
      </c>
      <c r="AK37" s="44" t="str">
        <f t="shared" si="22"/>
        <v/>
      </c>
      <c r="AL37" s="44" t="str">
        <f t="shared" si="23"/>
        <v/>
      </c>
      <c r="AM37" s="44" t="str">
        <f>IF(G37&lt;&gt;"",IFERROR(VLOOKUP(AI37,選手登録!$N$8:$P$57,4,FALSE),""),"")</f>
        <v/>
      </c>
      <c r="AN37" s="44" t="str">
        <f>IF(L37&lt;&gt;"",IFERROR(VLOOKUP(L37,馬匹登録!$B$8:$I$57,6,FALSE),""),"")</f>
        <v/>
      </c>
      <c r="AO37" s="44" t="str">
        <f>IFERROR(VLOOKUP(M37,リスト!$J$2:$K$5,2,FALSE),"")</f>
        <v/>
      </c>
      <c r="AP37" s="44" t="str">
        <f t="shared" si="24"/>
        <v/>
      </c>
      <c r="AQ37" s="44" t="str">
        <f t="shared" si="25"/>
        <v/>
      </c>
      <c r="AR37" s="44" t="str">
        <f t="shared" si="26"/>
        <v/>
      </c>
      <c r="AS37" s="44" t="str">
        <f t="shared" si="27"/>
        <v/>
      </c>
      <c r="AT37" s="44" t="str">
        <f t="shared" si="28"/>
        <v/>
      </c>
      <c r="AU37" s="44" t="str">
        <f t="shared" si="29"/>
        <v/>
      </c>
      <c r="AV37" s="44" t="str">
        <f t="shared" si="30"/>
        <v/>
      </c>
      <c r="AW37" s="44" t="str">
        <f t="shared" si="31"/>
        <v/>
      </c>
      <c r="AX37" s="44" t="str">
        <f t="shared" si="10"/>
        <v/>
      </c>
      <c r="AY37" s="44"/>
      <c r="BA37" s="44">
        <f t="shared" si="19"/>
        <v>0</v>
      </c>
      <c r="BB37" s="44" t="str">
        <f t="shared" si="12"/>
        <v/>
      </c>
      <c r="BC37" s="44">
        <f t="shared" si="13"/>
        <v>12</v>
      </c>
      <c r="BD37" s="44" t="str">
        <f t="shared" si="14"/>
        <v/>
      </c>
      <c r="BE37" s="44" t="str">
        <f t="shared" si="15"/>
        <v/>
      </c>
      <c r="BG37" s="44">
        <f t="shared" si="20"/>
        <v>0</v>
      </c>
      <c r="BH37" s="44" t="str">
        <f t="shared" si="21"/>
        <v/>
      </c>
      <c r="BI37" s="44">
        <f t="shared" si="16"/>
        <v>12</v>
      </c>
      <c r="BJ37" s="44" t="str">
        <f t="shared" si="17"/>
        <v/>
      </c>
      <c r="BK37" s="44" t="str">
        <f t="shared" si="18"/>
        <v/>
      </c>
    </row>
    <row r="38" spans="1:63" ht="22.5" customHeight="1" x14ac:dyDescent="0.4">
      <c r="A38" s="590"/>
      <c r="B38" s="592"/>
      <c r="C38" s="589"/>
      <c r="D38" s="96" t="str">
        <f>IF(OR(S37=2),"変更後","")</f>
        <v/>
      </c>
      <c r="E38" s="56"/>
      <c r="F38" s="99"/>
      <c r="G38" s="99"/>
      <c r="H38" s="99"/>
      <c r="I38" s="99"/>
      <c r="J38" s="99"/>
      <c r="K38" s="99"/>
      <c r="L38" s="99"/>
      <c r="M38" s="102"/>
      <c r="N38" s="54" t="str">
        <f>IF(AND(W38&lt;&gt;"",M38&lt;&gt;"",S37=2),IFERROR(VLOOKUP(W38,競技一覧!#REF!,3+VLOOKUP(M38,リスト!$J$2:$K$5,2,FALSE),FALSE),""),"")</f>
        <v/>
      </c>
      <c r="O38" s="597"/>
      <c r="P38" s="7" t="s">
        <v>8</v>
      </c>
      <c r="Q38" s="92"/>
      <c r="S38" s="44" t="str">
        <f>S37</f>
        <v/>
      </c>
      <c r="T38" s="44" t="str">
        <f>$Z$10</f>
        <v>W10</v>
      </c>
      <c r="U38" s="44" t="str">
        <f>IF(S37=2,$Z$7,$Z$10)</f>
        <v>W10</v>
      </c>
      <c r="V38" s="44"/>
      <c r="W38" s="44" t="str">
        <f>IF(AND(F38&lt;&gt;"",F38&lt;&gt;"-"),VLOOKUP(F38,競技一覧!#REF!,5,FALSE),"")</f>
        <v/>
      </c>
      <c r="X38" s="44" t="str">
        <f>IF(OR(S38=2),$Z$8,$Z$10)</f>
        <v>W10</v>
      </c>
      <c r="Y38" s="44"/>
      <c r="Z38" s="44"/>
      <c r="AA38" s="44" t="str">
        <f>IF(S38=2,$AC$9,IF(S38=4,$AF$7,$Z$10))</f>
        <v>W10</v>
      </c>
      <c r="AB38" s="44" t="str">
        <f>IF(AND(G38&lt;&gt;"",G38&lt;&gt;"-",S38=2),VLOOKUP(G38,選手登録!$N$8:$V$32,2,FALSE),"-")</f>
        <v>-</v>
      </c>
      <c r="AC38" s="44" t="str">
        <f ca="1">IF(OR(S38=2),CELL("address",AD38),IF(OR(S38=4,S38=5),"",$Z$10))</f>
        <v>W10</v>
      </c>
      <c r="AD38" s="44" t="str">
        <f>IF(AND(G38&lt;&gt;"",G38&lt;&gt;"-",S38=2),VLOOKUP(G38,選手登録!$N$8:$V$32,3,FALSE),"-")</f>
        <v>-</v>
      </c>
      <c r="AE38" s="44" t="str">
        <f>IF(OR(S38=2),$Z$9,IF(S38=5,"",$Z$10))</f>
        <v>W10</v>
      </c>
      <c r="AF38" s="44" t="str">
        <f>IF(AND(E38&lt;&gt;"",E38&lt;&gt;"-",OR(S38=2,S38=3)),VLOOKUP(E38,エントリー!$A$8:$H$87,8,TRUE),$Z$10)</f>
        <v>W10</v>
      </c>
      <c r="AG38" s="44" t="str">
        <f>IF(S38=2,VLOOKUP(W38,競技一覧!#REF!,8,TRUE),$Z$10)</f>
        <v>W10</v>
      </c>
      <c r="AH38" s="44"/>
      <c r="AI38" s="44"/>
      <c r="AK38" s="44" t="str">
        <f t="shared" si="22"/>
        <v/>
      </c>
      <c r="AL38" s="44" t="str">
        <f t="shared" si="23"/>
        <v/>
      </c>
      <c r="AM38" s="44" t="str">
        <f>IF(G38&lt;&gt;"",IFERROR(VLOOKUP(AI38,選手登録!$N$8:$P$57,4,FALSE),""),"")</f>
        <v/>
      </c>
      <c r="AN38" s="44" t="str">
        <f>IF(L38&lt;&gt;"",IFERROR(VLOOKUP(L38,馬匹登録!$B$8:$I$57,6,FALSE),""),"")</f>
        <v/>
      </c>
      <c r="AO38" s="44" t="str">
        <f>IFERROR(VLOOKUP(M38,リスト!$J$2:$K$5,2,FALSE),"")</f>
        <v/>
      </c>
      <c r="AP38" s="44" t="str">
        <f t="shared" si="24"/>
        <v/>
      </c>
      <c r="AQ38" s="44" t="str">
        <f t="shared" si="25"/>
        <v/>
      </c>
      <c r="AR38" s="44" t="str">
        <f t="shared" si="26"/>
        <v/>
      </c>
      <c r="AS38" s="44" t="str">
        <f t="shared" si="27"/>
        <v/>
      </c>
      <c r="AT38" s="44" t="str">
        <f t="shared" si="28"/>
        <v/>
      </c>
      <c r="AU38" s="44" t="str">
        <f t="shared" si="29"/>
        <v/>
      </c>
      <c r="AV38" s="44">
        <f t="shared" si="30"/>
        <v>0</v>
      </c>
      <c r="AW38" s="44" t="str">
        <f t="shared" si="31"/>
        <v>-</v>
      </c>
      <c r="AX38" s="44" t="str">
        <f t="shared" si="10"/>
        <v/>
      </c>
      <c r="AY38" s="44"/>
      <c r="BA38" s="44">
        <f t="shared" si="19"/>
        <v>0</v>
      </c>
      <c r="BB38" s="44" t="str">
        <f t="shared" si="12"/>
        <v/>
      </c>
      <c r="BC38" s="44">
        <f t="shared" si="13"/>
        <v>0</v>
      </c>
      <c r="BD38" s="44" t="str">
        <f t="shared" si="14"/>
        <v/>
      </c>
      <c r="BE38" s="44" t="str">
        <f t="shared" si="15"/>
        <v/>
      </c>
      <c r="BG38" s="44">
        <f t="shared" si="20"/>
        <v>0</v>
      </c>
      <c r="BH38" s="44"/>
      <c r="BI38" s="44">
        <f t="shared" si="16"/>
        <v>0</v>
      </c>
      <c r="BJ38" s="44" t="str">
        <f t="shared" si="17"/>
        <v/>
      </c>
      <c r="BK38" s="44" t="str">
        <f t="shared" si="18"/>
        <v/>
      </c>
    </row>
    <row r="39" spans="1:63" ht="22.5" customHeight="1" x14ac:dyDescent="0.4">
      <c r="A39" s="585">
        <v>13</v>
      </c>
      <c r="B39" s="591"/>
      <c r="C39" s="587"/>
      <c r="D39" s="95" t="str">
        <f>IF(OR(S39=2),"変更前","")</f>
        <v/>
      </c>
      <c r="E39" s="55"/>
      <c r="F39" s="98"/>
      <c r="G39" s="98"/>
      <c r="H39" s="98"/>
      <c r="I39" s="98"/>
      <c r="J39" s="98"/>
      <c r="K39" s="98"/>
      <c r="L39" s="98"/>
      <c r="M39" s="101"/>
      <c r="N39" s="85" t="str">
        <f>IF(AND(W39&lt;&gt;"",M39&lt;&gt;"",OR(S39=1,S39=2,S39=3)),IFERROR(VLOOKUP(W39,競技一覧!#REF!,3+VLOOKUP(M39,リスト!$J$2:$K$5,2,FALSE),FALSE) * IF(S39=1,1,-1),""),IF(S39=5,マスタ!$C$15,IF(S39=6,-1*マスタ!$C$15,"")))</f>
        <v/>
      </c>
      <c r="O39" s="606" t="str">
        <f>IF($C39&lt;&gt;"",IFERROR(VALUE(N40),0)+IFERROR(VALUE(N39),0),"")</f>
        <v/>
      </c>
      <c r="P39" s="5" t="str">
        <f>IF(OR($S39=1,$S39=2,$S39=3),マスタ!$C$16,IF($C39&lt;&gt;"",0,""))</f>
        <v/>
      </c>
      <c r="Q39" s="91"/>
      <c r="S39" s="44" t="str">
        <f>IF(C39&lt;&gt;"",VLOOKUP(C39,リスト!$R$2:$S$9,2,FALSE),"")</f>
        <v/>
      </c>
      <c r="T39" s="44" t="str">
        <f>IF(OR(S39=2,S39=3),$AC$7,$Z$10)</f>
        <v>W10</v>
      </c>
      <c r="U39" s="44" t="str">
        <f ca="1">IF(OR(S39=2,S39=3),CELL("address",V39),IF(S39=1,$Z$7,$Z$10))</f>
        <v>W10</v>
      </c>
      <c r="V39" s="44" t="str">
        <f>IF(AND(OR(S39=2, S39=3),E39&lt;&gt;"",E39&lt;&gt;"-"),VLOOKUP(E39,エントリー!$A$8:$H$87,6,TRUE),"-")</f>
        <v>-</v>
      </c>
      <c r="W39" s="44" t="str">
        <f>IF(AND(F39&lt;&gt;"",F39&lt;&gt;"-"),VLOOKUP(F39,競技一覧!#REF!,5,FALSE),"")</f>
        <v/>
      </c>
      <c r="X39" s="44" t="str">
        <f ca="1">IF(OR(S39=2,S39=3),CELL("address",Y39),IF(OR(S39=4),CELL("address",Z39),IF(S39=1,$Z$8,$Z$10)))</f>
        <v>W10</v>
      </c>
      <c r="Y39" s="44" t="str">
        <f>IF(AND(E39&lt;&gt;"",E39&lt;&gt;"-"),VLOOKUP(E39,エントリー!$A$8:$H$87,7,TRUE),"-")</f>
        <v>-</v>
      </c>
      <c r="Z39" s="44" t="str">
        <f>IF(S39=4,H39 &amp; " " &amp; I39,"")</f>
        <v/>
      </c>
      <c r="AA39" s="44" t="str">
        <f ca="1">IF(S39=4,$AC$9,IF(OR(S39=1,S39=2,S39=3),CELL("address",AB39),$Z$10))</f>
        <v>W10</v>
      </c>
      <c r="AB39" s="44" t="str">
        <f>IF(AND(G39&lt;&gt;"",G39&lt;&gt;"-",OR(S39=1,S39=2,S39=3)),VLOOKUP(G39,選手登録!$N$8:$V$32,2,FALSE),"-")</f>
        <v>-</v>
      </c>
      <c r="AC39" s="44" t="str">
        <f ca="1">IF(OR(S39=1,S39=2,S39=3),CELL("address",AD39),IF(OR(S39=4),$AC$10,$Z$10))</f>
        <v>W10</v>
      </c>
      <c r="AD39" s="44" t="str">
        <f>IF(AND(G39&lt;&gt;"",G39&lt;&gt;"-",OR(S39=1,S39=2,S39=3)),VLOOKUP(G39,選手登録!$N$8:$V$32,3,FALSE),"-")</f>
        <v>-</v>
      </c>
      <c r="AE39" s="44" t="str">
        <f ca="1">IF(OR(S39=2,S39=3),CELL("address",AF39),IF(OR(S39=1,S39=6),$Z$9,IF(S39=5,"",$Z$10)))</f>
        <v>W10</v>
      </c>
      <c r="AF39" s="44" t="str">
        <f>IF(AND(E39&lt;&gt;"",E39&lt;&gt;"-",OR(S39=2,S39=3)),VLOOKUP(E39,エントリー!$A$8:$H$87,8,TRUE),$Z$10)</f>
        <v>W10</v>
      </c>
      <c r="AG39" s="44" t="str">
        <f ca="1">IF(OR(S39=2,S39=3),CELL("address",AH39),IF(S39=1,VLOOKUP(W39,競技一覧!#REF!,8,TRUE),$Z$10))</f>
        <v>W10</v>
      </c>
      <c r="AH39" s="44" t="str">
        <f>IF(AND(OR(S39=2,S39=3),E39&lt;&gt;"",E39&lt;&gt;"-"),VLOOKUP(E39,エントリー!$A$8:$G$87,10,TRUE),$Y$10)</f>
        <v>-</v>
      </c>
      <c r="AI39" s="44" t="str">
        <f>IF(G39&lt;&gt;"",G39,IF(Z39&lt;&gt;"",Z39,""))</f>
        <v/>
      </c>
      <c r="AK39" s="44" t="str">
        <f t="shared" si="22"/>
        <v/>
      </c>
      <c r="AL39" s="44" t="str">
        <f t="shared" si="23"/>
        <v/>
      </c>
      <c r="AM39" s="44" t="str">
        <f>IF(G39&lt;&gt;"",IFERROR(VLOOKUP(AI39,選手登録!$N$8:$P$57,4,FALSE),""),"")</f>
        <v/>
      </c>
      <c r="AN39" s="44" t="str">
        <f>IF(L39&lt;&gt;"",IFERROR(VLOOKUP(L39,馬匹登録!$B$8:$I$57,6,FALSE),""),"")</f>
        <v/>
      </c>
      <c r="AO39" s="44" t="str">
        <f>IFERROR(VLOOKUP(M39,リスト!$J$2:$K$5,2,FALSE),"")</f>
        <v/>
      </c>
      <c r="AP39" s="44" t="str">
        <f t="shared" si="24"/>
        <v/>
      </c>
      <c r="AQ39" s="44" t="str">
        <f t="shared" si="25"/>
        <v/>
      </c>
      <c r="AR39" s="44" t="str">
        <f t="shared" si="26"/>
        <v/>
      </c>
      <c r="AS39" s="44" t="str">
        <f t="shared" si="27"/>
        <v/>
      </c>
      <c r="AT39" s="44" t="str">
        <f t="shared" si="28"/>
        <v/>
      </c>
      <c r="AU39" s="44" t="str">
        <f t="shared" si="29"/>
        <v/>
      </c>
      <c r="AV39" s="44" t="str">
        <f t="shared" si="30"/>
        <v/>
      </c>
      <c r="AW39" s="44" t="str">
        <f t="shared" si="31"/>
        <v/>
      </c>
      <c r="AX39" s="44" t="str">
        <f t="shared" si="10"/>
        <v/>
      </c>
      <c r="AY39" s="44"/>
      <c r="BA39" s="44">
        <f t="shared" si="19"/>
        <v>0</v>
      </c>
      <c r="BB39" s="44" t="str">
        <f t="shared" si="12"/>
        <v/>
      </c>
      <c r="BC39" s="44">
        <f t="shared" si="13"/>
        <v>13</v>
      </c>
      <c r="BD39" s="44" t="str">
        <f t="shared" si="14"/>
        <v/>
      </c>
      <c r="BE39" s="44" t="str">
        <f t="shared" si="15"/>
        <v/>
      </c>
      <c r="BG39" s="44">
        <f t="shared" si="20"/>
        <v>0</v>
      </c>
      <c r="BH39" s="44" t="str">
        <f t="shared" si="21"/>
        <v/>
      </c>
      <c r="BI39" s="44">
        <f t="shared" si="16"/>
        <v>13</v>
      </c>
      <c r="BJ39" s="44" t="str">
        <f t="shared" si="17"/>
        <v/>
      </c>
      <c r="BK39" s="44" t="str">
        <f t="shared" si="18"/>
        <v/>
      </c>
    </row>
    <row r="40" spans="1:63" ht="22.5" customHeight="1" x14ac:dyDescent="0.4">
      <c r="A40" s="590"/>
      <c r="B40" s="592"/>
      <c r="C40" s="589"/>
      <c r="D40" s="96" t="str">
        <f>IF(OR(S39=2),"変更後","")</f>
        <v/>
      </c>
      <c r="E40" s="56"/>
      <c r="F40" s="99"/>
      <c r="G40" s="99"/>
      <c r="H40" s="99"/>
      <c r="I40" s="99"/>
      <c r="J40" s="99"/>
      <c r="K40" s="99"/>
      <c r="L40" s="99"/>
      <c r="M40" s="102"/>
      <c r="N40" s="54" t="str">
        <f>IF(AND(W40&lt;&gt;"",M40&lt;&gt;"",S39=2),IFERROR(VLOOKUP(W40,競技一覧!#REF!,3+VLOOKUP(M40,リスト!$J$2:$K$5,2,FALSE),FALSE),""),"")</f>
        <v/>
      </c>
      <c r="O40" s="597"/>
      <c r="P40" s="7" t="s">
        <v>8</v>
      </c>
      <c r="Q40" s="92"/>
      <c r="S40" s="44" t="str">
        <f>S39</f>
        <v/>
      </c>
      <c r="T40" s="44" t="str">
        <f>$Z$10</f>
        <v>W10</v>
      </c>
      <c r="U40" s="44" t="str">
        <f>IF(S39=2,$Z$7,$Z$10)</f>
        <v>W10</v>
      </c>
      <c r="V40" s="44"/>
      <c r="W40" s="44" t="str">
        <f>IF(AND(F40&lt;&gt;"",F40&lt;&gt;"-"),VLOOKUP(F40,競技一覧!#REF!,5,FALSE),"")</f>
        <v/>
      </c>
      <c r="X40" s="44" t="str">
        <f>IF(OR(S40=2),$Z$8,$Z$10)</f>
        <v>W10</v>
      </c>
      <c r="Y40" s="44"/>
      <c r="Z40" s="44"/>
      <c r="AA40" s="44" t="str">
        <f>IF(S40=2,$AC$9,IF(S40=4,$AF$7,$Z$10))</f>
        <v>W10</v>
      </c>
      <c r="AB40" s="44" t="str">
        <f>IF(AND(G40&lt;&gt;"",G40&lt;&gt;"-",S40=2),VLOOKUP(G40,選手登録!$N$8:$V$32,2,FALSE),"-")</f>
        <v>-</v>
      </c>
      <c r="AC40" s="44" t="str">
        <f ca="1">IF(OR(S40=2),CELL("address",AD40),IF(OR(S40=4,S40=5),"",$Z$10))</f>
        <v>W10</v>
      </c>
      <c r="AD40" s="44" t="str">
        <f>IF(AND(G40&lt;&gt;"",G40&lt;&gt;"-",S40=2),VLOOKUP(G40,選手登録!$N$8:$V$32,3,FALSE),"-")</f>
        <v>-</v>
      </c>
      <c r="AE40" s="44" t="str">
        <f>IF(OR(S40=2),$Z$9,IF(S40=5,"",$Z$10))</f>
        <v>W10</v>
      </c>
      <c r="AF40" s="44" t="str">
        <f>IF(AND(E40&lt;&gt;"",E40&lt;&gt;"-",OR(S40=2,S40=3)),VLOOKUP(E40,エントリー!$A$8:$H$87,8,TRUE),$Z$10)</f>
        <v>W10</v>
      </c>
      <c r="AG40" s="44" t="str">
        <f>IF(S40=2,VLOOKUP(W40,競技一覧!#REF!,8,TRUE),$Z$10)</f>
        <v>W10</v>
      </c>
      <c r="AH40" s="44"/>
      <c r="AI40" s="44"/>
      <c r="AK40" s="44" t="str">
        <f t="shared" si="22"/>
        <v/>
      </c>
      <c r="AL40" s="44" t="str">
        <f t="shared" si="23"/>
        <v/>
      </c>
      <c r="AM40" s="44" t="str">
        <f>IF(G40&lt;&gt;"",IFERROR(VLOOKUP(AI40,選手登録!$N$8:$P$57,4,FALSE),""),"")</f>
        <v/>
      </c>
      <c r="AN40" s="44" t="str">
        <f>IF(L40&lt;&gt;"",IFERROR(VLOOKUP(L40,馬匹登録!$B$8:$I$57,6,FALSE),""),"")</f>
        <v/>
      </c>
      <c r="AO40" s="44" t="str">
        <f>IFERROR(VLOOKUP(M40,リスト!$J$2:$K$5,2,FALSE),"")</f>
        <v/>
      </c>
      <c r="AP40" s="44" t="str">
        <f t="shared" si="24"/>
        <v/>
      </c>
      <c r="AQ40" s="44" t="str">
        <f t="shared" si="25"/>
        <v/>
      </c>
      <c r="AR40" s="44" t="str">
        <f t="shared" si="26"/>
        <v/>
      </c>
      <c r="AS40" s="44" t="str">
        <f t="shared" si="27"/>
        <v/>
      </c>
      <c r="AT40" s="44" t="str">
        <f t="shared" si="28"/>
        <v/>
      </c>
      <c r="AU40" s="44" t="str">
        <f t="shared" si="29"/>
        <v/>
      </c>
      <c r="AV40" s="44">
        <f t="shared" si="30"/>
        <v>0</v>
      </c>
      <c r="AW40" s="44" t="str">
        <f t="shared" si="31"/>
        <v>-</v>
      </c>
      <c r="AX40" s="44" t="str">
        <f t="shared" si="10"/>
        <v/>
      </c>
      <c r="AY40" s="44"/>
      <c r="BA40" s="44">
        <f t="shared" si="19"/>
        <v>0</v>
      </c>
      <c r="BB40" s="44" t="str">
        <f t="shared" si="12"/>
        <v/>
      </c>
      <c r="BC40" s="44">
        <f t="shared" si="13"/>
        <v>0</v>
      </c>
      <c r="BD40" s="44" t="str">
        <f t="shared" si="14"/>
        <v/>
      </c>
      <c r="BE40" s="44" t="str">
        <f t="shared" si="15"/>
        <v/>
      </c>
      <c r="BG40" s="44">
        <f t="shared" si="20"/>
        <v>0</v>
      </c>
      <c r="BH40" s="44"/>
      <c r="BI40" s="44">
        <f t="shared" si="16"/>
        <v>0</v>
      </c>
      <c r="BJ40" s="44" t="str">
        <f t="shared" si="17"/>
        <v/>
      </c>
      <c r="BK40" s="44" t="str">
        <f t="shared" si="18"/>
        <v/>
      </c>
    </row>
    <row r="41" spans="1:63" ht="22.5" customHeight="1" x14ac:dyDescent="0.4">
      <c r="A41" s="585">
        <v>14</v>
      </c>
      <c r="B41" s="591"/>
      <c r="C41" s="587"/>
      <c r="D41" s="95" t="str">
        <f>IF(OR(S41=2),"変更前","")</f>
        <v/>
      </c>
      <c r="E41" s="55"/>
      <c r="F41" s="98"/>
      <c r="G41" s="98"/>
      <c r="H41" s="98"/>
      <c r="I41" s="98"/>
      <c r="J41" s="98"/>
      <c r="K41" s="98"/>
      <c r="L41" s="98"/>
      <c r="M41" s="101"/>
      <c r="N41" s="85" t="str">
        <f>IF(AND(W41&lt;&gt;"",M41&lt;&gt;"",OR(S41=1,S41=2,S41=3)),IFERROR(VLOOKUP(W41,競技一覧!#REF!,3+VLOOKUP(M41,リスト!$J$2:$K$5,2,FALSE),FALSE) * IF(S41=1,1,-1),""),IF(S41=5,マスタ!$C$15,IF(S41=6,-1*マスタ!$C$15,"")))</f>
        <v/>
      </c>
      <c r="O41" s="606" t="str">
        <f>IF($C41&lt;&gt;"",IFERROR(VALUE(N42),0)+IFERROR(VALUE(N41),0),"")</f>
        <v/>
      </c>
      <c r="P41" s="5" t="str">
        <f>IF(OR($S41=1,$S41=2,$S41=3),マスタ!$C$16,IF($C41&lt;&gt;"",0,""))</f>
        <v/>
      </c>
      <c r="Q41" s="91"/>
      <c r="S41" s="44" t="str">
        <f>IF(C41&lt;&gt;"",VLOOKUP(C41,リスト!$R$2:$S$9,2,FALSE),"")</f>
        <v/>
      </c>
      <c r="T41" s="44" t="str">
        <f>IF(OR(S41=2,S41=3),$AC$7,$Z$10)</f>
        <v>W10</v>
      </c>
      <c r="U41" s="44" t="str">
        <f ca="1">IF(OR(S41=2,S41=3),CELL("address",V41),IF(S41=1,$Z$7,$Z$10))</f>
        <v>W10</v>
      </c>
      <c r="V41" s="44" t="str">
        <f>IF(AND(OR(S41=2, S41=3),E41&lt;&gt;"",E41&lt;&gt;"-"),VLOOKUP(E41,エントリー!$A$8:$H$87,6,TRUE),"-")</f>
        <v>-</v>
      </c>
      <c r="W41" s="44" t="str">
        <f>IF(AND(F41&lt;&gt;"",F41&lt;&gt;"-"),VLOOKUP(F41,競技一覧!#REF!,5,FALSE),"")</f>
        <v/>
      </c>
      <c r="X41" s="44" t="str">
        <f ca="1">IF(OR(S41=2,S41=3),CELL("address",Y41),IF(OR(S41=4),CELL("address",Z41),IF(S41=1,$Z$8,$Z$10)))</f>
        <v>W10</v>
      </c>
      <c r="Y41" s="44" t="str">
        <f>IF(AND(E41&lt;&gt;"",E41&lt;&gt;"-"),VLOOKUP(E41,エントリー!$A$8:$H$87,7,TRUE),"-")</f>
        <v>-</v>
      </c>
      <c r="Z41" s="44" t="str">
        <f>IF(S41=4,H41 &amp; " " &amp; I41,"")</f>
        <v/>
      </c>
      <c r="AA41" s="44" t="str">
        <f ca="1">IF(S41=4,$AC$9,IF(OR(S41=1,S41=2,S41=3),CELL("address",AB41),$Z$10))</f>
        <v>W10</v>
      </c>
      <c r="AB41" s="44" t="str">
        <f>IF(AND(G41&lt;&gt;"",G41&lt;&gt;"-",OR(S41=1,S41=2,S41=3)),VLOOKUP(G41,選手登録!$N$8:$V$32,2,FALSE),"-")</f>
        <v>-</v>
      </c>
      <c r="AC41" s="44" t="str">
        <f ca="1">IF(OR(S41=1,S41=2,S41=3),CELL("address",AD41),IF(OR(S41=4),$AC$10,$Z$10))</f>
        <v>W10</v>
      </c>
      <c r="AD41" s="44" t="str">
        <f>IF(AND(G41&lt;&gt;"",G41&lt;&gt;"-",OR(S41=1,S41=2,S41=3)),VLOOKUP(G41,選手登録!$N$8:$V$32,3,FALSE),"-")</f>
        <v>-</v>
      </c>
      <c r="AE41" s="44" t="str">
        <f ca="1">IF(OR(S41=2,S41=3),CELL("address",AF41),IF(OR(S41=1,S41=6),$Z$9,IF(S41=5,"",$Z$10)))</f>
        <v>W10</v>
      </c>
      <c r="AF41" s="44" t="str">
        <f>IF(AND(E41&lt;&gt;"",E41&lt;&gt;"-",OR(S41=2,S41=3)),VLOOKUP(E41,エントリー!$A$8:$H$87,8,TRUE),$Z$10)</f>
        <v>W10</v>
      </c>
      <c r="AG41" s="44" t="str">
        <f ca="1">IF(OR(S41=2,S41=3),CELL("address",AH41),IF(S41=1,VLOOKUP(W41,競技一覧!#REF!,8,TRUE),$Z$10))</f>
        <v>W10</v>
      </c>
      <c r="AH41" s="44" t="str">
        <f>IF(AND(OR(S41=2,S41=3),E41&lt;&gt;"",E41&lt;&gt;"-"),VLOOKUP(E41,エントリー!$A$8:$G$87,10,TRUE),$Y$10)</f>
        <v>-</v>
      </c>
      <c r="AI41" s="44" t="str">
        <f>IF(G41&lt;&gt;"",G41,IF(Z41&lt;&gt;"",Z41,""))</f>
        <v/>
      </c>
      <c r="AK41" s="44" t="str">
        <f t="shared" si="22"/>
        <v/>
      </c>
      <c r="AL41" s="44" t="str">
        <f t="shared" si="23"/>
        <v/>
      </c>
      <c r="AM41" s="44" t="str">
        <f>IF(G41&lt;&gt;"",IFERROR(VLOOKUP(AI41,選手登録!$N$8:$P$57,4,FALSE),""),"")</f>
        <v/>
      </c>
      <c r="AN41" s="44" t="str">
        <f>IF(L41&lt;&gt;"",IFERROR(VLOOKUP(L41,馬匹登録!$B$8:$I$57,6,FALSE),""),"")</f>
        <v/>
      </c>
      <c r="AO41" s="44" t="str">
        <f>IFERROR(VLOOKUP(M41,リスト!$J$2:$K$5,2,FALSE),"")</f>
        <v/>
      </c>
      <c r="AP41" s="44" t="str">
        <f t="shared" si="24"/>
        <v/>
      </c>
      <c r="AQ41" s="44" t="str">
        <f t="shared" si="25"/>
        <v/>
      </c>
      <c r="AR41" s="44" t="str">
        <f t="shared" si="26"/>
        <v/>
      </c>
      <c r="AS41" s="44" t="str">
        <f t="shared" si="27"/>
        <v/>
      </c>
      <c r="AT41" s="44" t="str">
        <f t="shared" si="28"/>
        <v/>
      </c>
      <c r="AU41" s="44" t="str">
        <f t="shared" si="29"/>
        <v/>
      </c>
      <c r="AV41" s="44" t="str">
        <f t="shared" si="30"/>
        <v/>
      </c>
      <c r="AW41" s="44" t="str">
        <f t="shared" si="31"/>
        <v/>
      </c>
      <c r="AX41" s="44" t="str">
        <f t="shared" si="10"/>
        <v/>
      </c>
      <c r="AY41" s="44"/>
      <c r="BA41" s="44">
        <f t="shared" si="19"/>
        <v>0</v>
      </c>
      <c r="BB41" s="44" t="str">
        <f t="shared" si="12"/>
        <v/>
      </c>
      <c r="BC41" s="44">
        <f t="shared" si="13"/>
        <v>14</v>
      </c>
      <c r="BD41" s="44" t="str">
        <f t="shared" si="14"/>
        <v/>
      </c>
      <c r="BE41" s="44" t="str">
        <f t="shared" si="15"/>
        <v/>
      </c>
      <c r="BG41" s="44">
        <f t="shared" si="20"/>
        <v>0</v>
      </c>
      <c r="BH41" s="44" t="str">
        <f t="shared" si="21"/>
        <v/>
      </c>
      <c r="BI41" s="44">
        <f t="shared" si="16"/>
        <v>14</v>
      </c>
      <c r="BJ41" s="44" t="str">
        <f t="shared" si="17"/>
        <v/>
      </c>
      <c r="BK41" s="44" t="str">
        <f t="shared" si="18"/>
        <v/>
      </c>
    </row>
    <row r="42" spans="1:63" ht="22.5" customHeight="1" x14ac:dyDescent="0.4">
      <c r="A42" s="590"/>
      <c r="B42" s="592"/>
      <c r="C42" s="589"/>
      <c r="D42" s="96" t="str">
        <f>IF(OR(S41=2),"変更後","")</f>
        <v/>
      </c>
      <c r="E42" s="56"/>
      <c r="F42" s="99"/>
      <c r="G42" s="99"/>
      <c r="H42" s="99"/>
      <c r="I42" s="99"/>
      <c r="J42" s="99"/>
      <c r="K42" s="99"/>
      <c r="L42" s="99"/>
      <c r="M42" s="102"/>
      <c r="N42" s="54" t="str">
        <f>IF(AND(W42&lt;&gt;"",M42&lt;&gt;"",S41=2),IFERROR(VLOOKUP(W42,競技一覧!#REF!,3+VLOOKUP(M42,リスト!$J$2:$K$5,2,FALSE),FALSE),""),"")</f>
        <v/>
      </c>
      <c r="O42" s="597"/>
      <c r="P42" s="7" t="s">
        <v>8</v>
      </c>
      <c r="Q42" s="92"/>
      <c r="S42" s="44" t="str">
        <f>S41</f>
        <v/>
      </c>
      <c r="T42" s="44" t="str">
        <f>$Z$10</f>
        <v>W10</v>
      </c>
      <c r="U42" s="44" t="str">
        <f>IF(S41=2,$Z$7,$Z$10)</f>
        <v>W10</v>
      </c>
      <c r="V42" s="44"/>
      <c r="W42" s="44" t="str">
        <f>IF(AND(F42&lt;&gt;"",F42&lt;&gt;"-"),VLOOKUP(F42,競技一覧!#REF!,5,FALSE),"")</f>
        <v/>
      </c>
      <c r="X42" s="44" t="str">
        <f>IF(OR(S42=2),$Z$8,$Z$10)</f>
        <v>W10</v>
      </c>
      <c r="Y42" s="44"/>
      <c r="Z42" s="44"/>
      <c r="AA42" s="44" t="str">
        <f>IF(S42=2,$AC$9,IF(S42=4,$AF$7,$Z$10))</f>
        <v>W10</v>
      </c>
      <c r="AB42" s="44" t="str">
        <f>IF(AND(G42&lt;&gt;"",G42&lt;&gt;"-",S42=2),VLOOKUP(G42,選手登録!$N$8:$V$32,2,FALSE),"-")</f>
        <v>-</v>
      </c>
      <c r="AC42" s="44" t="str">
        <f ca="1">IF(OR(S42=2),CELL("address",AD42),IF(OR(S42=4,S42=5),"",$Z$10))</f>
        <v>W10</v>
      </c>
      <c r="AD42" s="44" t="str">
        <f>IF(AND(G42&lt;&gt;"",G42&lt;&gt;"-",S42=2),VLOOKUP(G42,選手登録!$N$8:$V$32,3,FALSE),"-")</f>
        <v>-</v>
      </c>
      <c r="AE42" s="44" t="str">
        <f>IF(OR(S42=2),$Z$9,IF(S42=5,"",$Z$10))</f>
        <v>W10</v>
      </c>
      <c r="AF42" s="44" t="str">
        <f>IF(AND(E42&lt;&gt;"",E42&lt;&gt;"-",OR(S42=2,S42=3)),VLOOKUP(E42,エントリー!$A$8:$H$87,8,TRUE),$Z$10)</f>
        <v>W10</v>
      </c>
      <c r="AG42" s="44" t="str">
        <f>IF(S42=2,VLOOKUP(W42,競技一覧!#REF!,8,TRUE),$Z$10)</f>
        <v>W10</v>
      </c>
      <c r="AH42" s="44"/>
      <c r="AI42" s="44"/>
      <c r="AK42" s="44" t="str">
        <f t="shared" si="22"/>
        <v/>
      </c>
      <c r="AL42" s="44" t="str">
        <f t="shared" si="23"/>
        <v/>
      </c>
      <c r="AM42" s="44" t="str">
        <f>IF(G42&lt;&gt;"",IFERROR(VLOOKUP(AI42,選手登録!$N$8:$P$57,4,FALSE),""),"")</f>
        <v/>
      </c>
      <c r="AN42" s="44" t="str">
        <f>IF(L42&lt;&gt;"",IFERROR(VLOOKUP(L42,馬匹登録!$B$8:$I$57,6,FALSE),""),"")</f>
        <v/>
      </c>
      <c r="AO42" s="44" t="str">
        <f>IFERROR(VLOOKUP(M42,リスト!$J$2:$K$5,2,FALSE),"")</f>
        <v/>
      </c>
      <c r="AP42" s="44" t="str">
        <f t="shared" si="24"/>
        <v/>
      </c>
      <c r="AQ42" s="44" t="str">
        <f t="shared" si="25"/>
        <v/>
      </c>
      <c r="AR42" s="44" t="str">
        <f t="shared" si="26"/>
        <v/>
      </c>
      <c r="AS42" s="44" t="str">
        <f t="shared" si="27"/>
        <v/>
      </c>
      <c r="AT42" s="44" t="str">
        <f t="shared" si="28"/>
        <v/>
      </c>
      <c r="AU42" s="44" t="str">
        <f t="shared" si="29"/>
        <v/>
      </c>
      <c r="AV42" s="44">
        <f t="shared" si="30"/>
        <v>0</v>
      </c>
      <c r="AW42" s="44" t="str">
        <f t="shared" si="31"/>
        <v>-</v>
      </c>
      <c r="AX42" s="44" t="str">
        <f t="shared" si="10"/>
        <v/>
      </c>
      <c r="AY42" s="44"/>
      <c r="BA42" s="44">
        <f t="shared" si="19"/>
        <v>0</v>
      </c>
      <c r="BB42" s="44" t="str">
        <f t="shared" si="12"/>
        <v/>
      </c>
      <c r="BC42" s="44">
        <f t="shared" si="13"/>
        <v>0</v>
      </c>
      <c r="BD42" s="44" t="str">
        <f t="shared" si="14"/>
        <v/>
      </c>
      <c r="BE42" s="44" t="str">
        <f t="shared" si="15"/>
        <v/>
      </c>
      <c r="BG42" s="44">
        <f t="shared" si="20"/>
        <v>0</v>
      </c>
      <c r="BH42" s="44"/>
      <c r="BI42" s="44">
        <f t="shared" si="16"/>
        <v>0</v>
      </c>
      <c r="BJ42" s="44" t="str">
        <f t="shared" si="17"/>
        <v/>
      </c>
      <c r="BK42" s="44" t="str">
        <f t="shared" si="18"/>
        <v/>
      </c>
    </row>
    <row r="43" spans="1:63" ht="22.5" customHeight="1" x14ac:dyDescent="0.4">
      <c r="A43" s="585">
        <v>15</v>
      </c>
      <c r="B43" s="591"/>
      <c r="C43" s="587"/>
      <c r="D43" s="95" t="str">
        <f>IF(OR(S43=2),"変更前","")</f>
        <v/>
      </c>
      <c r="E43" s="55"/>
      <c r="F43" s="98"/>
      <c r="G43" s="98"/>
      <c r="H43" s="98"/>
      <c r="I43" s="98"/>
      <c r="J43" s="98"/>
      <c r="K43" s="98"/>
      <c r="L43" s="98"/>
      <c r="M43" s="101"/>
      <c r="N43" s="85" t="str">
        <f>IF(AND(W43&lt;&gt;"",M43&lt;&gt;"",OR(S43=1,S43=2,S43=3)),IFERROR(VLOOKUP(W43,競技一覧!#REF!,3+VLOOKUP(M43,リスト!$J$2:$K$5,2,FALSE),FALSE) * IF(S43=1,1,-1),""),IF(S43=5,マスタ!$C$15,IF(S43=6,-1*マスタ!$C$15,"")))</f>
        <v/>
      </c>
      <c r="O43" s="606" t="str">
        <f>IF($C43&lt;&gt;"",IFERROR(VALUE(N44),0)+IFERROR(VALUE(N43),0),"")</f>
        <v/>
      </c>
      <c r="P43" s="5" t="str">
        <f>IF(OR($S43=1,$S43=2,$S43=3),マスタ!$C$16,IF($C43&lt;&gt;"",0,""))</f>
        <v/>
      </c>
      <c r="Q43" s="91"/>
      <c r="S43" s="44" t="str">
        <f>IF(C43&lt;&gt;"",VLOOKUP(C43,リスト!$R$2:$S$9,2,FALSE),"")</f>
        <v/>
      </c>
      <c r="T43" s="44" t="str">
        <f>IF(OR(S43=2,S43=3),$AC$7,$Z$10)</f>
        <v>W10</v>
      </c>
      <c r="U43" s="44" t="str">
        <f ca="1">IF(OR(S43=2,S43=3),CELL("address",V43),IF(S43=1,$Z$7,$Z$10))</f>
        <v>W10</v>
      </c>
      <c r="V43" s="44" t="str">
        <f>IF(AND(OR(S43=2, S43=3),E43&lt;&gt;"",E43&lt;&gt;"-"),VLOOKUP(E43,エントリー!$A$8:$H$87,6,TRUE),"-")</f>
        <v>-</v>
      </c>
      <c r="W43" s="44" t="str">
        <f>IF(AND(F43&lt;&gt;"",F43&lt;&gt;"-"),VLOOKUP(F43,競技一覧!#REF!,5,FALSE),"")</f>
        <v/>
      </c>
      <c r="X43" s="44" t="str">
        <f ca="1">IF(OR(S43=2,S43=3),CELL("address",Y43),IF(OR(S43=4),CELL("address",Z43),IF(S43=1,$Z$8,$Z$10)))</f>
        <v>W10</v>
      </c>
      <c r="Y43" s="44" t="str">
        <f>IF(AND(E43&lt;&gt;"",E43&lt;&gt;"-"),VLOOKUP(E43,エントリー!$A$8:$H$87,7,TRUE),"-")</f>
        <v>-</v>
      </c>
      <c r="Z43" s="44" t="str">
        <f>IF(S43=4,H43 &amp; " " &amp; I43,"")</f>
        <v/>
      </c>
      <c r="AA43" s="44" t="str">
        <f ca="1">IF(S43=4,$AC$9,IF(OR(S43=1,S43=2,S43=3),CELL("address",AB43),$Z$10))</f>
        <v>W10</v>
      </c>
      <c r="AB43" s="44" t="str">
        <f>IF(AND(G43&lt;&gt;"",G43&lt;&gt;"-",OR(S43=1,S43=2,S43=3)),VLOOKUP(G43,選手登録!$N$8:$V$32,2,FALSE),"-")</f>
        <v>-</v>
      </c>
      <c r="AC43" s="44" t="str">
        <f ca="1">IF(OR(S43=1,S43=2,S43=3),CELL("address",AD43),IF(OR(S43=4),$AC$10,$Z$10))</f>
        <v>W10</v>
      </c>
      <c r="AD43" s="44" t="str">
        <f>IF(AND(G43&lt;&gt;"",G43&lt;&gt;"-",OR(S43=1,S43=2,S43=3)),VLOOKUP(G43,選手登録!$N$8:$V$32,3,FALSE),"-")</f>
        <v>-</v>
      </c>
      <c r="AE43" s="44" t="str">
        <f ca="1">IF(OR(S43=2,S43=3),CELL("address",AF43),IF(OR(S43=1,S43=6),$Z$9,IF(S43=5,"",$Z$10)))</f>
        <v>W10</v>
      </c>
      <c r="AF43" s="44" t="str">
        <f>IF(AND(E43&lt;&gt;"",E43&lt;&gt;"-",OR(S43=2,S43=3)),VLOOKUP(E43,エントリー!$A$8:$H$87,8,TRUE),$Z$10)</f>
        <v>W10</v>
      </c>
      <c r="AG43" s="44" t="str">
        <f ca="1">IF(OR(S43=2,S43=3),CELL("address",AH43),IF(S43=1,VLOOKUP(W43,競技一覧!#REF!,8,TRUE),$Z$10))</f>
        <v>W10</v>
      </c>
      <c r="AH43" s="44" t="str">
        <f>IF(AND(OR(S43=2,S43=3),E43&lt;&gt;"",E43&lt;&gt;"-"),VLOOKUP(E43,エントリー!$A$8:$G$87,10,TRUE),$Y$10)</f>
        <v>-</v>
      </c>
      <c r="AI43" s="44" t="str">
        <f>IF(G43&lt;&gt;"",G43,IF(Z43&lt;&gt;"",Z43,""))</f>
        <v/>
      </c>
      <c r="AK43" s="44" t="str">
        <f t="shared" si="22"/>
        <v/>
      </c>
      <c r="AL43" s="44" t="str">
        <f t="shared" si="23"/>
        <v/>
      </c>
      <c r="AM43" s="44" t="str">
        <f>IF(G43&lt;&gt;"",IFERROR(VLOOKUP(AI43,選手登録!$N$8:$P$57,4,FALSE),""),"")</f>
        <v/>
      </c>
      <c r="AN43" s="44" t="str">
        <f>IF(L43&lt;&gt;"",IFERROR(VLOOKUP(L43,馬匹登録!$B$8:$I$57,6,FALSE),""),"")</f>
        <v/>
      </c>
      <c r="AO43" s="44" t="str">
        <f>IFERROR(VLOOKUP(M43,リスト!$J$2:$K$5,2,FALSE),"")</f>
        <v/>
      </c>
      <c r="AP43" s="44" t="str">
        <f t="shared" si="24"/>
        <v/>
      </c>
      <c r="AQ43" s="44" t="str">
        <f t="shared" si="25"/>
        <v/>
      </c>
      <c r="AR43" s="44" t="str">
        <f t="shared" si="26"/>
        <v/>
      </c>
      <c r="AS43" s="44" t="str">
        <f t="shared" si="27"/>
        <v/>
      </c>
      <c r="AT43" s="44" t="str">
        <f t="shared" si="28"/>
        <v/>
      </c>
      <c r="AU43" s="44" t="str">
        <f t="shared" si="29"/>
        <v/>
      </c>
      <c r="AV43" s="44" t="str">
        <f t="shared" si="30"/>
        <v/>
      </c>
      <c r="AW43" s="44" t="str">
        <f t="shared" si="31"/>
        <v/>
      </c>
      <c r="AX43" s="44" t="str">
        <f t="shared" si="10"/>
        <v/>
      </c>
      <c r="AY43" s="44"/>
      <c r="BA43" s="44">
        <f t="shared" si="19"/>
        <v>0</v>
      </c>
      <c r="BB43" s="44" t="str">
        <f t="shared" si="12"/>
        <v/>
      </c>
      <c r="BC43" s="44">
        <f t="shared" si="13"/>
        <v>15</v>
      </c>
      <c r="BD43" s="44" t="str">
        <f t="shared" si="14"/>
        <v/>
      </c>
      <c r="BE43" s="44" t="str">
        <f t="shared" si="15"/>
        <v/>
      </c>
      <c r="BG43" s="44">
        <f t="shared" si="20"/>
        <v>0</v>
      </c>
      <c r="BH43" s="44" t="str">
        <f t="shared" si="21"/>
        <v/>
      </c>
      <c r="BI43" s="44">
        <f t="shared" si="16"/>
        <v>15</v>
      </c>
      <c r="BJ43" s="44" t="str">
        <f t="shared" si="17"/>
        <v/>
      </c>
      <c r="BK43" s="44" t="str">
        <f t="shared" si="18"/>
        <v/>
      </c>
    </row>
    <row r="44" spans="1:63" ht="22.5" customHeight="1" x14ac:dyDescent="0.4">
      <c r="A44" s="590"/>
      <c r="B44" s="592"/>
      <c r="C44" s="589"/>
      <c r="D44" s="96" t="str">
        <f>IF(OR(S43=2),"変更後","")</f>
        <v/>
      </c>
      <c r="E44" s="56"/>
      <c r="F44" s="99"/>
      <c r="G44" s="99"/>
      <c r="H44" s="99"/>
      <c r="I44" s="99"/>
      <c r="J44" s="99"/>
      <c r="K44" s="99"/>
      <c r="L44" s="99"/>
      <c r="M44" s="102"/>
      <c r="N44" s="54" t="str">
        <f>IF(AND(W44&lt;&gt;"",M44&lt;&gt;"",S43=2),IFERROR(VLOOKUP(W44,競技一覧!#REF!,3+VLOOKUP(M44,リスト!$J$2:$K$5,2,FALSE),FALSE),""),"")</f>
        <v/>
      </c>
      <c r="O44" s="597"/>
      <c r="P44" s="7" t="s">
        <v>8</v>
      </c>
      <c r="Q44" s="92"/>
      <c r="S44" s="44" t="str">
        <f>S43</f>
        <v/>
      </c>
      <c r="T44" s="44" t="str">
        <f>$Z$10</f>
        <v>W10</v>
      </c>
      <c r="U44" s="44" t="str">
        <f>IF(S43=2,$Z$7,$Z$10)</f>
        <v>W10</v>
      </c>
      <c r="V44" s="44"/>
      <c r="W44" s="44" t="str">
        <f>IF(AND(F44&lt;&gt;"",F44&lt;&gt;"-"),VLOOKUP(F44,競技一覧!#REF!,5,FALSE),"")</f>
        <v/>
      </c>
      <c r="X44" s="44" t="str">
        <f>IF(OR(S44=2),$Z$8,$Z$10)</f>
        <v>W10</v>
      </c>
      <c r="Y44" s="44"/>
      <c r="Z44" s="44"/>
      <c r="AA44" s="44" t="str">
        <f>IF(S44=2,$AC$9,IF(S44=4,$AF$7,$Z$10))</f>
        <v>W10</v>
      </c>
      <c r="AB44" s="44" t="str">
        <f>IF(AND(G44&lt;&gt;"",G44&lt;&gt;"-",S44=2),VLOOKUP(G44,選手登録!$N$8:$V$32,2,FALSE),"-")</f>
        <v>-</v>
      </c>
      <c r="AC44" s="44" t="str">
        <f ca="1">IF(OR(S44=2),CELL("address",AD44),IF(OR(S44=4,S44=5),"",$Z$10))</f>
        <v>W10</v>
      </c>
      <c r="AD44" s="44" t="str">
        <f>IF(AND(G44&lt;&gt;"",G44&lt;&gt;"-",S44=2),VLOOKUP(G44,選手登録!$N$8:$V$32,3,FALSE),"-")</f>
        <v>-</v>
      </c>
      <c r="AE44" s="44" t="str">
        <f>IF(OR(S44=2),$Z$9,IF(S44=5,"",$Z$10))</f>
        <v>W10</v>
      </c>
      <c r="AF44" s="44" t="str">
        <f>IF(AND(E44&lt;&gt;"",E44&lt;&gt;"-",OR(S44=2,S44=3)),VLOOKUP(E44,エントリー!$A$8:$H$87,8,TRUE),$Z$10)</f>
        <v>W10</v>
      </c>
      <c r="AG44" s="44" t="str">
        <f>IF(S44=2,VLOOKUP(W44,競技一覧!#REF!,8,TRUE),$Z$10)</f>
        <v>W10</v>
      </c>
      <c r="AH44" s="44"/>
      <c r="AI44" s="44"/>
      <c r="AK44" s="44" t="str">
        <f t="shared" si="22"/>
        <v/>
      </c>
      <c r="AL44" s="44" t="str">
        <f t="shared" si="23"/>
        <v/>
      </c>
      <c r="AM44" s="44" t="str">
        <f>IF(G44&lt;&gt;"",IFERROR(VLOOKUP(AI44,選手登録!$N$8:$P$57,4,FALSE),""),"")</f>
        <v/>
      </c>
      <c r="AN44" s="44" t="str">
        <f>IF(L44&lt;&gt;"",IFERROR(VLOOKUP(L44,馬匹登録!$B$8:$I$57,6,FALSE),""),"")</f>
        <v/>
      </c>
      <c r="AO44" s="44" t="str">
        <f>IFERROR(VLOOKUP(M44,リスト!$J$2:$K$5,2,FALSE),"")</f>
        <v/>
      </c>
      <c r="AP44" s="44" t="str">
        <f t="shared" si="24"/>
        <v/>
      </c>
      <c r="AQ44" s="44" t="str">
        <f t="shared" si="25"/>
        <v/>
      </c>
      <c r="AR44" s="44" t="str">
        <f t="shared" si="26"/>
        <v/>
      </c>
      <c r="AS44" s="44" t="str">
        <f t="shared" si="27"/>
        <v/>
      </c>
      <c r="AT44" s="44" t="str">
        <f t="shared" si="28"/>
        <v/>
      </c>
      <c r="AU44" s="44" t="str">
        <f t="shared" si="29"/>
        <v/>
      </c>
      <c r="AV44" s="44">
        <f t="shared" si="30"/>
        <v>0</v>
      </c>
      <c r="AW44" s="44" t="str">
        <f t="shared" si="31"/>
        <v>-</v>
      </c>
      <c r="AX44" s="44" t="str">
        <f t="shared" si="10"/>
        <v/>
      </c>
      <c r="AY44" s="44"/>
      <c r="BA44" s="44">
        <f t="shared" si="19"/>
        <v>0</v>
      </c>
      <c r="BB44" s="44" t="str">
        <f t="shared" si="12"/>
        <v/>
      </c>
      <c r="BC44" s="44">
        <f t="shared" si="13"/>
        <v>0</v>
      </c>
      <c r="BD44" s="44" t="str">
        <f t="shared" si="14"/>
        <v/>
      </c>
      <c r="BE44" s="44" t="str">
        <f t="shared" si="15"/>
        <v/>
      </c>
      <c r="BG44" s="44">
        <f t="shared" si="20"/>
        <v>0</v>
      </c>
      <c r="BH44" s="44"/>
      <c r="BI44" s="44">
        <f t="shared" si="16"/>
        <v>0</v>
      </c>
      <c r="BJ44" s="44" t="str">
        <f t="shared" si="17"/>
        <v/>
      </c>
      <c r="BK44" s="44" t="str">
        <f t="shared" si="18"/>
        <v/>
      </c>
    </row>
    <row r="45" spans="1:63" ht="22.5" customHeight="1" x14ac:dyDescent="0.4">
      <c r="A45" s="585">
        <v>16</v>
      </c>
      <c r="B45" s="591"/>
      <c r="C45" s="587"/>
      <c r="D45" s="95" t="str">
        <f>IF(OR(S45=2),"変更前","")</f>
        <v/>
      </c>
      <c r="E45" s="55"/>
      <c r="F45" s="98"/>
      <c r="G45" s="98"/>
      <c r="H45" s="98"/>
      <c r="I45" s="98"/>
      <c r="J45" s="98"/>
      <c r="K45" s="98"/>
      <c r="L45" s="98"/>
      <c r="M45" s="101"/>
      <c r="N45" s="85" t="str">
        <f>IF(AND(W45&lt;&gt;"",M45&lt;&gt;"",OR(S45=1,S45=2,S45=3)),IFERROR(VLOOKUP(W45,競技一覧!#REF!,3+VLOOKUP(M45,リスト!$J$2:$K$5,2,FALSE),FALSE) * IF(S45=1,1,-1),""),IF(S45=5,マスタ!$C$15,IF(S45=6,-1*マスタ!$C$15,"")))</f>
        <v/>
      </c>
      <c r="O45" s="606" t="str">
        <f>IF($C45&lt;&gt;"",IFERROR(VALUE(N46),0)+IFERROR(VALUE(N45),0),"")</f>
        <v/>
      </c>
      <c r="P45" s="5" t="str">
        <f>IF(OR($S45=1,$S45=2,$S45=3),マスタ!$C$16,IF($C45&lt;&gt;"",0,""))</f>
        <v/>
      </c>
      <c r="Q45" s="91"/>
      <c r="S45" s="44" t="str">
        <f>IF(C45&lt;&gt;"",VLOOKUP(C45,リスト!$R$2:$S$9,2,FALSE),"")</f>
        <v/>
      </c>
      <c r="T45" s="44" t="str">
        <f>IF(OR(S45=2,S45=3),$AC$7,$Z$10)</f>
        <v>W10</v>
      </c>
      <c r="U45" s="44" t="str">
        <f ca="1">IF(OR(S45=2,S45=3),CELL("address",V45),IF(S45=1,$Z$7,$Z$10))</f>
        <v>W10</v>
      </c>
      <c r="V45" s="44" t="str">
        <f>IF(AND(OR(S45=2, S45=3),E45&lt;&gt;"",E45&lt;&gt;"-"),VLOOKUP(E45,エントリー!$A$8:$H$87,6,TRUE),"-")</f>
        <v>-</v>
      </c>
      <c r="W45" s="44" t="str">
        <f>IF(AND(F45&lt;&gt;"",F45&lt;&gt;"-"),VLOOKUP(F45,競技一覧!#REF!,5,FALSE),"")</f>
        <v/>
      </c>
      <c r="X45" s="44" t="str">
        <f ca="1">IF(OR(S45=2,S45=3),CELL("address",Y45),IF(OR(S45=4),CELL("address",Z45),IF(S45=1,$Z$8,$Z$10)))</f>
        <v>W10</v>
      </c>
      <c r="Y45" s="44" t="str">
        <f>IF(AND(E45&lt;&gt;"",E45&lt;&gt;"-"),VLOOKUP(E45,エントリー!$A$8:$H$87,7,TRUE),"-")</f>
        <v>-</v>
      </c>
      <c r="Z45" s="44" t="str">
        <f>IF(S45=4,H45 &amp; " " &amp; I45,"")</f>
        <v/>
      </c>
      <c r="AA45" s="44" t="str">
        <f ca="1">IF(S45=4,$AC$9,IF(OR(S45=1,S45=2,S45=3),CELL("address",AB45),$Z$10))</f>
        <v>W10</v>
      </c>
      <c r="AB45" s="44" t="str">
        <f>IF(AND(G45&lt;&gt;"",G45&lt;&gt;"-",OR(S45=1,S45=2,S45=3)),VLOOKUP(G45,選手登録!$N$8:$V$32,2,FALSE),"-")</f>
        <v>-</v>
      </c>
      <c r="AC45" s="44" t="str">
        <f ca="1">IF(OR(S45=1,S45=2,S45=3),CELL("address",AD45),IF(OR(S45=4),$AC$10,$Z$10))</f>
        <v>W10</v>
      </c>
      <c r="AD45" s="44" t="str">
        <f>IF(AND(G45&lt;&gt;"",G45&lt;&gt;"-",OR(S45=1,S45=2,S45=3)),VLOOKUP(G45,選手登録!$N$8:$V$32,3,FALSE),"-")</f>
        <v>-</v>
      </c>
      <c r="AE45" s="44" t="str">
        <f ca="1">IF(OR(S45=2,S45=3),CELL("address",AF45),IF(OR(S45=1,S45=6),$Z$9,IF(S45=5,"",$Z$10)))</f>
        <v>W10</v>
      </c>
      <c r="AF45" s="44" t="str">
        <f>IF(AND(E45&lt;&gt;"",E45&lt;&gt;"-",OR(S45=2,S45=3)),VLOOKUP(E45,エントリー!$A$8:$H$87,8,TRUE),$Z$10)</f>
        <v>W10</v>
      </c>
      <c r="AG45" s="44" t="str">
        <f ca="1">IF(OR(S45=2,S45=3),CELL("address",AH45),IF(S45=1,VLOOKUP(W45,競技一覧!#REF!,8,TRUE),$Z$10))</f>
        <v>W10</v>
      </c>
      <c r="AH45" s="44" t="str">
        <f>IF(AND(OR(S45=2,S45=3),E45&lt;&gt;"",E45&lt;&gt;"-"),VLOOKUP(E45,エントリー!$A$8:$G$87,10,TRUE),$Y$10)</f>
        <v>-</v>
      </c>
      <c r="AI45" s="44" t="str">
        <f>IF(G45&lt;&gt;"",G45,IF(Z45&lt;&gt;"",Z45,""))</f>
        <v/>
      </c>
      <c r="AK45" s="44" t="str">
        <f t="shared" si="22"/>
        <v/>
      </c>
      <c r="AL45" s="44" t="str">
        <f t="shared" si="23"/>
        <v/>
      </c>
      <c r="AM45" s="44" t="str">
        <f>IF(G45&lt;&gt;"",IFERROR(VLOOKUP(AI45,選手登録!$N$8:$P$57,4,FALSE),""),"")</f>
        <v/>
      </c>
      <c r="AN45" s="44" t="str">
        <f>IF(L45&lt;&gt;"",IFERROR(VLOOKUP(L45,馬匹登録!$B$8:$I$57,6,FALSE),""),"")</f>
        <v/>
      </c>
      <c r="AO45" s="44" t="str">
        <f>IFERROR(VLOOKUP(M45,リスト!$J$2:$K$5,2,FALSE),"")</f>
        <v/>
      </c>
      <c r="AP45" s="44" t="str">
        <f t="shared" si="24"/>
        <v/>
      </c>
      <c r="AQ45" s="44" t="str">
        <f t="shared" si="25"/>
        <v/>
      </c>
      <c r="AR45" s="44" t="str">
        <f t="shared" si="26"/>
        <v/>
      </c>
      <c r="AS45" s="44" t="str">
        <f t="shared" si="27"/>
        <v/>
      </c>
      <c r="AT45" s="44" t="str">
        <f t="shared" si="28"/>
        <v/>
      </c>
      <c r="AU45" s="44" t="str">
        <f t="shared" si="29"/>
        <v/>
      </c>
      <c r="AV45" s="44" t="str">
        <f t="shared" si="30"/>
        <v/>
      </c>
      <c r="AW45" s="44" t="str">
        <f t="shared" si="31"/>
        <v/>
      </c>
      <c r="AX45" s="44" t="str">
        <f t="shared" si="10"/>
        <v/>
      </c>
      <c r="AY45" s="44"/>
      <c r="BA45" s="44">
        <f t="shared" si="19"/>
        <v>0</v>
      </c>
      <c r="BB45" s="44" t="str">
        <f t="shared" si="12"/>
        <v/>
      </c>
      <c r="BC45" s="44">
        <f t="shared" si="13"/>
        <v>16</v>
      </c>
      <c r="BD45" s="44" t="str">
        <f t="shared" si="14"/>
        <v/>
      </c>
      <c r="BE45" s="44" t="str">
        <f t="shared" si="15"/>
        <v/>
      </c>
      <c r="BG45" s="44">
        <f t="shared" si="20"/>
        <v>0</v>
      </c>
      <c r="BH45" s="44" t="str">
        <f t="shared" si="21"/>
        <v/>
      </c>
      <c r="BI45" s="44">
        <f t="shared" si="16"/>
        <v>16</v>
      </c>
      <c r="BJ45" s="44" t="str">
        <f t="shared" si="17"/>
        <v/>
      </c>
      <c r="BK45" s="44" t="str">
        <f t="shared" si="18"/>
        <v/>
      </c>
    </row>
    <row r="46" spans="1:63" ht="22.5" customHeight="1" x14ac:dyDescent="0.4">
      <c r="A46" s="590"/>
      <c r="B46" s="592"/>
      <c r="C46" s="589"/>
      <c r="D46" s="96" t="str">
        <f>IF(OR(S45=2),"変更後","")</f>
        <v/>
      </c>
      <c r="E46" s="56"/>
      <c r="F46" s="99"/>
      <c r="G46" s="99"/>
      <c r="H46" s="99"/>
      <c r="I46" s="99"/>
      <c r="J46" s="99"/>
      <c r="K46" s="99"/>
      <c r="L46" s="99"/>
      <c r="M46" s="102"/>
      <c r="N46" s="54" t="str">
        <f>IF(AND(W46&lt;&gt;"",M46&lt;&gt;"",S45=2),IFERROR(VLOOKUP(W46,競技一覧!#REF!,3+VLOOKUP(M46,リスト!$J$2:$K$5,2,FALSE),FALSE),""),"")</f>
        <v/>
      </c>
      <c r="O46" s="597"/>
      <c r="P46" s="7" t="s">
        <v>8</v>
      </c>
      <c r="Q46" s="92"/>
      <c r="S46" s="44" t="str">
        <f>S45</f>
        <v/>
      </c>
      <c r="T46" s="44" t="str">
        <f>$Z$10</f>
        <v>W10</v>
      </c>
      <c r="U46" s="44" t="str">
        <f>IF(S45=2,$Z$7,$Z$10)</f>
        <v>W10</v>
      </c>
      <c r="V46" s="44"/>
      <c r="W46" s="44" t="str">
        <f>IF(AND(F46&lt;&gt;"",F46&lt;&gt;"-"),VLOOKUP(F46,競技一覧!#REF!,5,FALSE),"")</f>
        <v/>
      </c>
      <c r="X46" s="44" t="str">
        <f>IF(OR(S46=2),$Z$8,$Z$10)</f>
        <v>W10</v>
      </c>
      <c r="Y46" s="44"/>
      <c r="Z46" s="44"/>
      <c r="AA46" s="44" t="str">
        <f>IF(S46=2,$AC$9,IF(S46=4,$AF$7,$Z$10))</f>
        <v>W10</v>
      </c>
      <c r="AB46" s="44" t="str">
        <f>IF(AND(G46&lt;&gt;"",G46&lt;&gt;"-",S46=2),VLOOKUP(G46,選手登録!$N$8:$V$32,2,FALSE),"-")</f>
        <v>-</v>
      </c>
      <c r="AC46" s="44" t="str">
        <f ca="1">IF(OR(S46=2),CELL("address",AD46),IF(OR(S46=4,S46=5),"",$Z$10))</f>
        <v>W10</v>
      </c>
      <c r="AD46" s="44" t="str">
        <f>IF(AND(G46&lt;&gt;"",G46&lt;&gt;"-",S46=2),VLOOKUP(G46,選手登録!$N$8:$V$32,3,FALSE),"-")</f>
        <v>-</v>
      </c>
      <c r="AE46" s="44" t="str">
        <f>IF(OR(S46=2),$Z$9,IF(S46=5,"",$Z$10))</f>
        <v>W10</v>
      </c>
      <c r="AF46" s="44" t="str">
        <f>IF(AND(E46&lt;&gt;"",E46&lt;&gt;"-",OR(S46=2,S46=3)),VLOOKUP(E46,エントリー!$A$8:$H$87,8,TRUE),$Z$10)</f>
        <v>W10</v>
      </c>
      <c r="AG46" s="44" t="str">
        <f>IF(S46=2,VLOOKUP(W46,競技一覧!#REF!,8,TRUE),$Z$10)</f>
        <v>W10</v>
      </c>
      <c r="AH46" s="44"/>
      <c r="AI46" s="44"/>
      <c r="AK46" s="44" t="str">
        <f t="shared" si="22"/>
        <v/>
      </c>
      <c r="AL46" s="44" t="str">
        <f t="shared" si="23"/>
        <v/>
      </c>
      <c r="AM46" s="44" t="str">
        <f>IF(G46&lt;&gt;"",IFERROR(VLOOKUP(AI46,選手登録!$N$8:$P$57,4,FALSE),""),"")</f>
        <v/>
      </c>
      <c r="AN46" s="44" t="str">
        <f>IF(L46&lt;&gt;"",IFERROR(VLOOKUP(L46,馬匹登録!$B$8:$I$57,6,FALSE),""),"")</f>
        <v/>
      </c>
      <c r="AO46" s="44" t="str">
        <f>IFERROR(VLOOKUP(M46,リスト!$J$2:$K$5,2,FALSE),"")</f>
        <v/>
      </c>
      <c r="AP46" s="44" t="str">
        <f t="shared" si="24"/>
        <v/>
      </c>
      <c r="AQ46" s="44" t="str">
        <f t="shared" si="25"/>
        <v/>
      </c>
      <c r="AR46" s="44" t="str">
        <f t="shared" si="26"/>
        <v/>
      </c>
      <c r="AS46" s="44" t="str">
        <f t="shared" si="27"/>
        <v/>
      </c>
      <c r="AT46" s="44" t="str">
        <f t="shared" si="28"/>
        <v/>
      </c>
      <c r="AU46" s="44" t="str">
        <f t="shared" si="29"/>
        <v/>
      </c>
      <c r="AV46" s="44">
        <f t="shared" si="30"/>
        <v>0</v>
      </c>
      <c r="AW46" s="44" t="str">
        <f t="shared" si="31"/>
        <v>-</v>
      </c>
      <c r="AX46" s="44" t="str">
        <f t="shared" si="10"/>
        <v/>
      </c>
      <c r="AY46" s="44"/>
      <c r="BA46" s="44">
        <f t="shared" si="19"/>
        <v>0</v>
      </c>
      <c r="BB46" s="44" t="str">
        <f t="shared" si="12"/>
        <v/>
      </c>
      <c r="BC46" s="44">
        <f t="shared" si="13"/>
        <v>0</v>
      </c>
      <c r="BD46" s="44" t="str">
        <f t="shared" si="14"/>
        <v/>
      </c>
      <c r="BE46" s="44" t="str">
        <f t="shared" si="15"/>
        <v/>
      </c>
      <c r="BG46" s="44">
        <f t="shared" si="20"/>
        <v>0</v>
      </c>
      <c r="BH46" s="44"/>
      <c r="BI46" s="44">
        <f t="shared" si="16"/>
        <v>0</v>
      </c>
      <c r="BJ46" s="44" t="str">
        <f t="shared" si="17"/>
        <v/>
      </c>
      <c r="BK46" s="44" t="str">
        <f t="shared" si="18"/>
        <v/>
      </c>
    </row>
    <row r="47" spans="1:63" ht="22.5" customHeight="1" x14ac:dyDescent="0.4">
      <c r="A47" s="585">
        <v>17</v>
      </c>
      <c r="B47" s="591"/>
      <c r="C47" s="587"/>
      <c r="D47" s="95" t="str">
        <f>IF(OR(S47=2),"変更前","")</f>
        <v/>
      </c>
      <c r="E47" s="55"/>
      <c r="F47" s="98"/>
      <c r="G47" s="98"/>
      <c r="H47" s="98"/>
      <c r="I47" s="98"/>
      <c r="J47" s="98"/>
      <c r="K47" s="98"/>
      <c r="L47" s="98"/>
      <c r="M47" s="101"/>
      <c r="N47" s="85" t="str">
        <f>IF(AND(W47&lt;&gt;"",M47&lt;&gt;"",OR(S47=1,S47=2,S47=3)),IFERROR(VLOOKUP(W47,競技一覧!#REF!,3+VLOOKUP(M47,リスト!$J$2:$K$5,2,FALSE),FALSE) * IF(S47=1,1,-1),""),IF(S47=5,マスタ!$C$15,IF(S47=6,-1*マスタ!$C$15,"")))</f>
        <v/>
      </c>
      <c r="O47" s="606" t="str">
        <f>IF($C47&lt;&gt;"",IFERROR(VALUE(N48),0)+IFERROR(VALUE(N47),0),"")</f>
        <v/>
      </c>
      <c r="P47" s="5" t="str">
        <f>IF(OR($S47=1,$S47=2,$S47=3),マスタ!$C$16,IF($C47&lt;&gt;"",0,""))</f>
        <v/>
      </c>
      <c r="Q47" s="91"/>
      <c r="S47" s="44" t="str">
        <f>IF(C47&lt;&gt;"",VLOOKUP(C47,リスト!$R$2:$S$9,2,FALSE),"")</f>
        <v/>
      </c>
      <c r="T47" s="44" t="str">
        <f>IF(OR(S47=2,S47=3),$AC$7,$Z$10)</f>
        <v>W10</v>
      </c>
      <c r="U47" s="44" t="str">
        <f ca="1">IF(OR(S47=2,S47=3),CELL("address",V47),IF(S47=1,$Z$7,$Z$10))</f>
        <v>W10</v>
      </c>
      <c r="V47" s="44" t="str">
        <f>IF(AND(OR(S47=2, S47=3),E47&lt;&gt;"",E47&lt;&gt;"-"),VLOOKUP(E47,エントリー!$A$8:$H$87,6,TRUE),"-")</f>
        <v>-</v>
      </c>
      <c r="W47" s="44" t="str">
        <f>IF(AND(F47&lt;&gt;"",F47&lt;&gt;"-"),VLOOKUP(F47,競技一覧!#REF!,5,FALSE),"")</f>
        <v/>
      </c>
      <c r="X47" s="44" t="str">
        <f ca="1">IF(OR(S47=2,S47=3),CELL("address",Y47),IF(OR(S47=4),CELL("address",Z47),IF(S47=1,$Z$8,$Z$10)))</f>
        <v>W10</v>
      </c>
      <c r="Y47" s="44" t="str">
        <f>IF(AND(E47&lt;&gt;"",E47&lt;&gt;"-"),VLOOKUP(E47,エントリー!$A$8:$H$87,7,TRUE),"-")</f>
        <v>-</v>
      </c>
      <c r="Z47" s="44" t="str">
        <f>IF(S47=4,H47 &amp; " " &amp; I47,"")</f>
        <v/>
      </c>
      <c r="AA47" s="44" t="str">
        <f ca="1">IF(S47=4,$AC$9,IF(OR(S47=1,S47=2,S47=3),CELL("address",AB47),$Z$10))</f>
        <v>W10</v>
      </c>
      <c r="AB47" s="44" t="str">
        <f>IF(AND(G47&lt;&gt;"",G47&lt;&gt;"-",OR(S47=1,S47=2,S47=3)),VLOOKUP(G47,選手登録!$N$8:$V$32,2,FALSE),"-")</f>
        <v>-</v>
      </c>
      <c r="AC47" s="44" t="str">
        <f ca="1">IF(OR(S47=1,S47=2,S47=3),CELL("address",AD47),IF(OR(S47=4),$AC$10,$Z$10))</f>
        <v>W10</v>
      </c>
      <c r="AD47" s="44" t="str">
        <f>IF(AND(G47&lt;&gt;"",G47&lt;&gt;"-",OR(S47=1,S47=2,S47=3)),VLOOKUP(G47,選手登録!$N$8:$V$32,3,FALSE),"-")</f>
        <v>-</v>
      </c>
      <c r="AE47" s="44" t="str">
        <f ca="1">IF(OR(S47=2,S47=3),CELL("address",AF47),IF(OR(S47=1,S47=6),$Z$9,IF(S47=5,"",$Z$10)))</f>
        <v>W10</v>
      </c>
      <c r="AF47" s="44" t="str">
        <f>IF(AND(E47&lt;&gt;"",E47&lt;&gt;"-",OR(S47=2,S47=3)),VLOOKUP(E47,エントリー!$A$8:$H$87,8,TRUE),$Z$10)</f>
        <v>W10</v>
      </c>
      <c r="AG47" s="44" t="str">
        <f ca="1">IF(OR(S47=2,S47=3),CELL("address",AH47),IF(S47=1,VLOOKUP(W47,競技一覧!#REF!,8,TRUE),$Z$10))</f>
        <v>W10</v>
      </c>
      <c r="AH47" s="44" t="str">
        <f>IF(AND(OR(S47=2,S47=3),E47&lt;&gt;"",E47&lt;&gt;"-"),VLOOKUP(E47,エントリー!$A$8:$G$87,10,TRUE),$Y$10)</f>
        <v>-</v>
      </c>
      <c r="AI47" s="44" t="str">
        <f>IF(G47&lt;&gt;"",G47,IF(Z47&lt;&gt;"",Z47,""))</f>
        <v/>
      </c>
      <c r="AK47" s="44" t="str">
        <f t="shared" si="22"/>
        <v/>
      </c>
      <c r="AL47" s="44" t="str">
        <f t="shared" si="23"/>
        <v/>
      </c>
      <c r="AM47" s="44" t="str">
        <f>IF(G47&lt;&gt;"",IFERROR(VLOOKUP(AI47,選手登録!$N$8:$P$57,4,FALSE),""),"")</f>
        <v/>
      </c>
      <c r="AN47" s="44" t="str">
        <f>IF(L47&lt;&gt;"",IFERROR(VLOOKUP(L47,馬匹登録!$B$8:$I$57,6,FALSE),""),"")</f>
        <v/>
      </c>
      <c r="AO47" s="44" t="str">
        <f>IFERROR(VLOOKUP(M47,リスト!$J$2:$K$5,2,FALSE),"")</f>
        <v/>
      </c>
      <c r="AP47" s="44" t="str">
        <f t="shared" si="24"/>
        <v/>
      </c>
      <c r="AQ47" s="44" t="str">
        <f t="shared" si="25"/>
        <v/>
      </c>
      <c r="AR47" s="44" t="str">
        <f t="shared" si="26"/>
        <v/>
      </c>
      <c r="AS47" s="44" t="str">
        <f t="shared" si="27"/>
        <v/>
      </c>
      <c r="AT47" s="44" t="str">
        <f t="shared" si="28"/>
        <v/>
      </c>
      <c r="AU47" s="44" t="str">
        <f t="shared" si="29"/>
        <v/>
      </c>
      <c r="AV47" s="44" t="str">
        <f t="shared" si="30"/>
        <v/>
      </c>
      <c r="AW47" s="44" t="str">
        <f t="shared" si="31"/>
        <v/>
      </c>
      <c r="AX47" s="44" t="str">
        <f t="shared" si="10"/>
        <v/>
      </c>
      <c r="AY47" s="44"/>
      <c r="BA47" s="44">
        <f t="shared" si="19"/>
        <v>0</v>
      </c>
      <c r="BB47" s="44" t="str">
        <f t="shared" si="12"/>
        <v/>
      </c>
      <c r="BC47" s="44">
        <f t="shared" si="13"/>
        <v>17</v>
      </c>
      <c r="BD47" s="44" t="str">
        <f t="shared" si="14"/>
        <v/>
      </c>
      <c r="BE47" s="44" t="str">
        <f t="shared" si="15"/>
        <v/>
      </c>
      <c r="BG47" s="44">
        <f t="shared" si="20"/>
        <v>0</v>
      </c>
      <c r="BH47" s="44" t="str">
        <f t="shared" si="21"/>
        <v/>
      </c>
      <c r="BI47" s="44">
        <f t="shared" si="16"/>
        <v>17</v>
      </c>
      <c r="BJ47" s="44" t="str">
        <f t="shared" si="17"/>
        <v/>
      </c>
      <c r="BK47" s="44" t="str">
        <f t="shared" si="18"/>
        <v/>
      </c>
    </row>
    <row r="48" spans="1:63" ht="22.5" customHeight="1" x14ac:dyDescent="0.4">
      <c r="A48" s="590"/>
      <c r="B48" s="592"/>
      <c r="C48" s="589"/>
      <c r="D48" s="96" t="str">
        <f>IF(OR(S47=2),"変更後","")</f>
        <v/>
      </c>
      <c r="E48" s="56"/>
      <c r="F48" s="99"/>
      <c r="G48" s="99"/>
      <c r="H48" s="99"/>
      <c r="I48" s="99"/>
      <c r="J48" s="99"/>
      <c r="K48" s="99"/>
      <c r="L48" s="99"/>
      <c r="M48" s="102"/>
      <c r="N48" s="54" t="str">
        <f>IF(AND(W48&lt;&gt;"",M48&lt;&gt;"",S47=2),IFERROR(VLOOKUP(W48,競技一覧!#REF!,3+VLOOKUP(M48,リスト!$J$2:$K$5,2,FALSE),FALSE),""),"")</f>
        <v/>
      </c>
      <c r="O48" s="597"/>
      <c r="P48" s="7" t="s">
        <v>8</v>
      </c>
      <c r="Q48" s="92"/>
      <c r="S48" s="44" t="str">
        <f>S47</f>
        <v/>
      </c>
      <c r="T48" s="44" t="str">
        <f>$Z$10</f>
        <v>W10</v>
      </c>
      <c r="U48" s="44" t="str">
        <f>IF(S47=2,$Z$7,$Z$10)</f>
        <v>W10</v>
      </c>
      <c r="V48" s="44"/>
      <c r="W48" s="44" t="str">
        <f>IF(AND(F48&lt;&gt;"",F48&lt;&gt;"-"),VLOOKUP(F48,競技一覧!#REF!,5,FALSE),"")</f>
        <v/>
      </c>
      <c r="X48" s="44" t="str">
        <f>IF(OR(S48=2),$Z$8,$Z$10)</f>
        <v>W10</v>
      </c>
      <c r="Y48" s="44"/>
      <c r="Z48" s="44"/>
      <c r="AA48" s="44" t="str">
        <f>IF(S48=2,$AC$9,IF(S48=4,$AF$7,$Z$10))</f>
        <v>W10</v>
      </c>
      <c r="AB48" s="44" t="str">
        <f>IF(AND(G48&lt;&gt;"",G48&lt;&gt;"-",S48=2),VLOOKUP(G48,選手登録!$N$8:$V$32,2,FALSE),"-")</f>
        <v>-</v>
      </c>
      <c r="AC48" s="44" t="str">
        <f ca="1">IF(OR(S48=2),CELL("address",AD48),IF(OR(S48=4,S48=5),"",$Z$10))</f>
        <v>W10</v>
      </c>
      <c r="AD48" s="44" t="str">
        <f>IF(AND(G48&lt;&gt;"",G48&lt;&gt;"-",S48=2),VLOOKUP(G48,選手登録!$N$8:$V$32,3,FALSE),"-")</f>
        <v>-</v>
      </c>
      <c r="AE48" s="44" t="str">
        <f>IF(OR(S48=2),$Z$9,IF(S48=5,"",$Z$10))</f>
        <v>W10</v>
      </c>
      <c r="AF48" s="44" t="str">
        <f>IF(AND(E48&lt;&gt;"",E48&lt;&gt;"-",OR(S48=2,S48=3)),VLOOKUP(E48,エントリー!$A$8:$H$87,8,TRUE),$Z$10)</f>
        <v>W10</v>
      </c>
      <c r="AG48" s="44" t="str">
        <f>IF(S48=2,VLOOKUP(W48,競技一覧!#REF!,8,TRUE),$Z$10)</f>
        <v>W10</v>
      </c>
      <c r="AH48" s="44"/>
      <c r="AI48" s="44"/>
      <c r="AK48" s="44" t="str">
        <f t="shared" si="22"/>
        <v/>
      </c>
      <c r="AL48" s="44" t="str">
        <f t="shared" si="23"/>
        <v/>
      </c>
      <c r="AM48" s="44" t="str">
        <f>IF(G48&lt;&gt;"",IFERROR(VLOOKUP(AI48,選手登録!$N$8:$P$57,4,FALSE),""),"")</f>
        <v/>
      </c>
      <c r="AN48" s="44" t="str">
        <f>IF(L48&lt;&gt;"",IFERROR(VLOOKUP(L48,馬匹登録!$B$8:$I$57,6,FALSE),""),"")</f>
        <v/>
      </c>
      <c r="AO48" s="44" t="str">
        <f>IFERROR(VLOOKUP(M48,リスト!$J$2:$K$5,2,FALSE),"")</f>
        <v/>
      </c>
      <c r="AP48" s="44" t="str">
        <f t="shared" si="24"/>
        <v/>
      </c>
      <c r="AQ48" s="44" t="str">
        <f t="shared" si="25"/>
        <v/>
      </c>
      <c r="AR48" s="44" t="str">
        <f t="shared" si="26"/>
        <v/>
      </c>
      <c r="AS48" s="44" t="str">
        <f t="shared" si="27"/>
        <v/>
      </c>
      <c r="AT48" s="44" t="str">
        <f t="shared" si="28"/>
        <v/>
      </c>
      <c r="AU48" s="44" t="str">
        <f t="shared" si="29"/>
        <v/>
      </c>
      <c r="AV48" s="44">
        <f t="shared" si="30"/>
        <v>0</v>
      </c>
      <c r="AW48" s="44" t="str">
        <f t="shared" si="31"/>
        <v>-</v>
      </c>
      <c r="AX48" s="44" t="str">
        <f t="shared" si="10"/>
        <v/>
      </c>
      <c r="AY48" s="44"/>
      <c r="BA48" s="44">
        <f t="shared" si="19"/>
        <v>0</v>
      </c>
      <c r="BB48" s="44" t="str">
        <f t="shared" si="12"/>
        <v/>
      </c>
      <c r="BC48" s="44">
        <f t="shared" si="13"/>
        <v>0</v>
      </c>
      <c r="BD48" s="44" t="str">
        <f t="shared" si="14"/>
        <v/>
      </c>
      <c r="BE48" s="44" t="str">
        <f t="shared" si="15"/>
        <v/>
      </c>
      <c r="BG48" s="44">
        <f t="shared" si="20"/>
        <v>0</v>
      </c>
      <c r="BH48" s="44"/>
      <c r="BI48" s="44">
        <f t="shared" si="16"/>
        <v>0</v>
      </c>
      <c r="BJ48" s="44" t="str">
        <f t="shared" si="17"/>
        <v/>
      </c>
      <c r="BK48" s="44" t="str">
        <f t="shared" si="18"/>
        <v/>
      </c>
    </row>
    <row r="49" spans="1:63" ht="22.5" customHeight="1" x14ac:dyDescent="0.4">
      <c r="A49" s="585">
        <v>18</v>
      </c>
      <c r="B49" s="591"/>
      <c r="C49" s="587"/>
      <c r="D49" s="95" t="str">
        <f>IF(OR(S49=2),"変更前","")</f>
        <v/>
      </c>
      <c r="E49" s="55"/>
      <c r="F49" s="98"/>
      <c r="G49" s="98"/>
      <c r="H49" s="98"/>
      <c r="I49" s="98"/>
      <c r="J49" s="98"/>
      <c r="K49" s="98"/>
      <c r="L49" s="98"/>
      <c r="M49" s="101"/>
      <c r="N49" s="85" t="str">
        <f>IF(AND(W49&lt;&gt;"",M49&lt;&gt;"",OR(S49=1,S49=2,S49=3)),IFERROR(VLOOKUP(W49,競技一覧!#REF!,3+VLOOKUP(M49,リスト!$J$2:$K$5,2,FALSE),FALSE) * IF(S49=1,1,-1),""),IF(S49=5,マスタ!$C$15,IF(S49=6,-1*マスタ!$C$15,"")))</f>
        <v/>
      </c>
      <c r="O49" s="606" t="str">
        <f>IF($C49&lt;&gt;"",IFERROR(VALUE(N50),0)+IFERROR(VALUE(N49),0),"")</f>
        <v/>
      </c>
      <c r="P49" s="5" t="str">
        <f>IF(OR($S49=1,$S49=2,$S49=3),マスタ!$C$16,IF($C49&lt;&gt;"",0,""))</f>
        <v/>
      </c>
      <c r="Q49" s="91"/>
      <c r="S49" s="44" t="str">
        <f>IF(C49&lt;&gt;"",VLOOKUP(C49,リスト!$R$2:$S$9,2,FALSE),"")</f>
        <v/>
      </c>
      <c r="T49" s="44" t="str">
        <f>IF(OR(S49=2,S49=3),$AC$7,$Z$10)</f>
        <v>W10</v>
      </c>
      <c r="U49" s="44" t="str">
        <f ca="1">IF(OR(S49=2,S49=3),CELL("address",V49),IF(S49=1,$Z$7,$Z$10))</f>
        <v>W10</v>
      </c>
      <c r="V49" s="44" t="str">
        <f>IF(AND(OR(S49=2, S49=3),E49&lt;&gt;"",E49&lt;&gt;"-"),VLOOKUP(E49,エントリー!$A$8:$H$87,6,TRUE),"-")</f>
        <v>-</v>
      </c>
      <c r="W49" s="44" t="str">
        <f>IF(AND(F49&lt;&gt;"",F49&lt;&gt;"-"),VLOOKUP(F49,競技一覧!#REF!,5,FALSE),"")</f>
        <v/>
      </c>
      <c r="X49" s="44" t="str">
        <f ca="1">IF(OR(S49=2,S49=3),CELL("address",Y49),IF(OR(S49=4),CELL("address",Z49),IF(S49=1,$Z$8,$Z$10)))</f>
        <v>W10</v>
      </c>
      <c r="Y49" s="44" t="str">
        <f>IF(AND(E49&lt;&gt;"",E49&lt;&gt;"-"),VLOOKUP(E49,エントリー!$A$8:$H$87,7,TRUE),"-")</f>
        <v>-</v>
      </c>
      <c r="Z49" s="44" t="str">
        <f>IF(S49=4,H49 &amp; " " &amp; I49,"")</f>
        <v/>
      </c>
      <c r="AA49" s="44" t="str">
        <f ca="1">IF(S49=4,$AC$9,IF(OR(S49=1,S49=2,S49=3),CELL("address",AB49),$Z$10))</f>
        <v>W10</v>
      </c>
      <c r="AB49" s="44" t="str">
        <f>IF(AND(G49&lt;&gt;"",G49&lt;&gt;"-",OR(S49=1,S49=2,S49=3)),VLOOKUP(G49,選手登録!$N$8:$V$32,2,FALSE),"-")</f>
        <v>-</v>
      </c>
      <c r="AC49" s="44" t="str">
        <f ca="1">IF(OR(S49=1,S49=2,S49=3),CELL("address",AD49),IF(OR(S49=4),$AC$10,$Z$10))</f>
        <v>W10</v>
      </c>
      <c r="AD49" s="44" t="str">
        <f>IF(AND(G49&lt;&gt;"",G49&lt;&gt;"-",OR(S49=1,S49=2,S49=3)),VLOOKUP(G49,選手登録!$N$8:$V$32,3,FALSE),"-")</f>
        <v>-</v>
      </c>
      <c r="AE49" s="44" t="str">
        <f ca="1">IF(OR(S49=2,S49=3),CELL("address",AF49),IF(OR(S49=1,S49=6),$Z$9,IF(S49=5,"",$Z$10)))</f>
        <v>W10</v>
      </c>
      <c r="AF49" s="44" t="str">
        <f>IF(AND(E49&lt;&gt;"",E49&lt;&gt;"-",OR(S49=2,S49=3)),VLOOKUP(E49,エントリー!$A$8:$H$87,8,TRUE),$Z$10)</f>
        <v>W10</v>
      </c>
      <c r="AG49" s="44" t="str">
        <f ca="1">IF(OR(S49=2,S49=3),CELL("address",AH49),IF(S49=1,VLOOKUP(W49,競技一覧!#REF!,8,TRUE),$Z$10))</f>
        <v>W10</v>
      </c>
      <c r="AH49" s="44" t="str">
        <f>IF(AND(OR(S49=2,S49=3),E49&lt;&gt;"",E49&lt;&gt;"-"),VLOOKUP(E49,エントリー!$A$8:$G$87,10,TRUE),$Y$10)</f>
        <v>-</v>
      </c>
      <c r="AI49" s="44" t="str">
        <f>IF(G49&lt;&gt;"",G49,IF(Z49&lt;&gt;"",Z49,""))</f>
        <v/>
      </c>
      <c r="AK49" s="44" t="str">
        <f t="shared" si="22"/>
        <v/>
      </c>
      <c r="AL49" s="44" t="str">
        <f t="shared" si="23"/>
        <v/>
      </c>
      <c r="AM49" s="44" t="str">
        <f>IF(G49&lt;&gt;"",IFERROR(VLOOKUP(AI49,選手登録!$N$8:$P$57,4,FALSE),""),"")</f>
        <v/>
      </c>
      <c r="AN49" s="44" t="str">
        <f>IF(L49&lt;&gt;"",IFERROR(VLOOKUP(L49,馬匹登録!$B$8:$I$57,6,FALSE),""),"")</f>
        <v/>
      </c>
      <c r="AO49" s="44" t="str">
        <f>IFERROR(VLOOKUP(M49,リスト!$J$2:$K$5,2,FALSE),"")</f>
        <v/>
      </c>
      <c r="AP49" s="44" t="str">
        <f t="shared" si="24"/>
        <v/>
      </c>
      <c r="AQ49" s="44" t="str">
        <f t="shared" si="25"/>
        <v/>
      </c>
      <c r="AR49" s="44" t="str">
        <f t="shared" si="26"/>
        <v/>
      </c>
      <c r="AS49" s="44" t="str">
        <f t="shared" si="27"/>
        <v/>
      </c>
      <c r="AT49" s="44" t="str">
        <f t="shared" si="28"/>
        <v/>
      </c>
      <c r="AU49" s="44" t="str">
        <f t="shared" si="29"/>
        <v/>
      </c>
      <c r="AV49" s="44" t="str">
        <f t="shared" si="30"/>
        <v/>
      </c>
      <c r="AW49" s="44" t="str">
        <f t="shared" si="31"/>
        <v/>
      </c>
      <c r="AX49" s="44" t="str">
        <f t="shared" si="10"/>
        <v/>
      </c>
      <c r="AY49" s="44"/>
      <c r="BA49" s="44">
        <f t="shared" si="19"/>
        <v>0</v>
      </c>
      <c r="BB49" s="44" t="str">
        <f t="shared" si="12"/>
        <v/>
      </c>
      <c r="BC49" s="44">
        <f t="shared" si="13"/>
        <v>18</v>
      </c>
      <c r="BD49" s="44" t="str">
        <f t="shared" si="14"/>
        <v/>
      </c>
      <c r="BE49" s="44" t="str">
        <f t="shared" si="15"/>
        <v/>
      </c>
      <c r="BG49" s="44">
        <f t="shared" si="20"/>
        <v>0</v>
      </c>
      <c r="BH49" s="44" t="str">
        <f t="shared" si="21"/>
        <v/>
      </c>
      <c r="BI49" s="44">
        <f t="shared" si="16"/>
        <v>18</v>
      </c>
      <c r="BJ49" s="44" t="str">
        <f t="shared" si="17"/>
        <v/>
      </c>
      <c r="BK49" s="44" t="str">
        <f t="shared" si="18"/>
        <v/>
      </c>
    </row>
    <row r="50" spans="1:63" ht="22.5" customHeight="1" x14ac:dyDescent="0.4">
      <c r="A50" s="590"/>
      <c r="B50" s="592"/>
      <c r="C50" s="589"/>
      <c r="D50" s="96" t="str">
        <f>IF(OR(S49=2),"変更後","")</f>
        <v/>
      </c>
      <c r="E50" s="56"/>
      <c r="F50" s="99"/>
      <c r="G50" s="99"/>
      <c r="H50" s="99"/>
      <c r="I50" s="99"/>
      <c r="J50" s="99"/>
      <c r="K50" s="99"/>
      <c r="L50" s="99"/>
      <c r="M50" s="102"/>
      <c r="N50" s="54" t="str">
        <f>IF(AND(W50&lt;&gt;"",M50&lt;&gt;"",S49=2),IFERROR(VLOOKUP(W50,競技一覧!#REF!,3+VLOOKUP(M50,リスト!$J$2:$K$5,2,FALSE),FALSE),""),"")</f>
        <v/>
      </c>
      <c r="O50" s="597"/>
      <c r="P50" s="7" t="s">
        <v>8</v>
      </c>
      <c r="Q50" s="92"/>
      <c r="S50" s="44" t="str">
        <f>S49</f>
        <v/>
      </c>
      <c r="T50" s="44" t="str">
        <f>$Z$10</f>
        <v>W10</v>
      </c>
      <c r="U50" s="44" t="str">
        <f>IF(S49=2,$Z$7,$Z$10)</f>
        <v>W10</v>
      </c>
      <c r="V50" s="44"/>
      <c r="W50" s="44" t="str">
        <f>IF(AND(F50&lt;&gt;"",F50&lt;&gt;"-"),VLOOKUP(F50,競技一覧!#REF!,5,FALSE),"")</f>
        <v/>
      </c>
      <c r="X50" s="44" t="str">
        <f>IF(OR(S50=2),$Z$8,$Z$10)</f>
        <v>W10</v>
      </c>
      <c r="Y50" s="44"/>
      <c r="Z50" s="44"/>
      <c r="AA50" s="44" t="str">
        <f>IF(S50=2,$AC$9,IF(S50=4,$AF$7,$Z$10))</f>
        <v>W10</v>
      </c>
      <c r="AB50" s="44" t="str">
        <f>IF(AND(G50&lt;&gt;"",G50&lt;&gt;"-",S50=2),VLOOKUP(G50,選手登録!$N$8:$V$32,2,FALSE),"-")</f>
        <v>-</v>
      </c>
      <c r="AC50" s="44" t="str">
        <f ca="1">IF(OR(S50=2),CELL("address",AD50),IF(OR(S50=4,S50=5),"",$Z$10))</f>
        <v>W10</v>
      </c>
      <c r="AD50" s="44" t="str">
        <f>IF(AND(G50&lt;&gt;"",G50&lt;&gt;"-",S50=2),VLOOKUP(G50,選手登録!$N$8:$V$32,3,FALSE),"-")</f>
        <v>-</v>
      </c>
      <c r="AE50" s="44" t="str">
        <f>IF(OR(S50=2),$Z$9,IF(S50=5,"",$Z$10))</f>
        <v>W10</v>
      </c>
      <c r="AF50" s="44" t="str">
        <f>IF(AND(E50&lt;&gt;"",E50&lt;&gt;"-",OR(S50=2,S50=3)),VLOOKUP(E50,エントリー!$A$8:$H$87,8,TRUE),$Z$10)</f>
        <v>W10</v>
      </c>
      <c r="AG50" s="44" t="str">
        <f>IF(S50=2,VLOOKUP(W50,競技一覧!#REF!,8,TRUE),$Z$10)</f>
        <v>W10</v>
      </c>
      <c r="AH50" s="44"/>
      <c r="AI50" s="44"/>
      <c r="AK50" s="44" t="str">
        <f t="shared" si="22"/>
        <v/>
      </c>
      <c r="AL50" s="44" t="str">
        <f t="shared" si="23"/>
        <v/>
      </c>
      <c r="AM50" s="44" t="str">
        <f>IF(G50&lt;&gt;"",IFERROR(VLOOKUP(AI50,選手登録!$N$8:$P$57,4,FALSE),""),"")</f>
        <v/>
      </c>
      <c r="AN50" s="44" t="str">
        <f>IF(L50&lt;&gt;"",IFERROR(VLOOKUP(L50,馬匹登録!$B$8:$I$57,6,FALSE),""),"")</f>
        <v/>
      </c>
      <c r="AO50" s="44" t="str">
        <f>IFERROR(VLOOKUP(M50,リスト!$J$2:$K$5,2,FALSE),"")</f>
        <v/>
      </c>
      <c r="AP50" s="44" t="str">
        <f t="shared" si="24"/>
        <v/>
      </c>
      <c r="AQ50" s="44" t="str">
        <f t="shared" si="25"/>
        <v/>
      </c>
      <c r="AR50" s="44" t="str">
        <f t="shared" si="26"/>
        <v/>
      </c>
      <c r="AS50" s="44" t="str">
        <f t="shared" si="27"/>
        <v/>
      </c>
      <c r="AT50" s="44" t="str">
        <f t="shared" si="28"/>
        <v/>
      </c>
      <c r="AU50" s="44" t="str">
        <f t="shared" si="29"/>
        <v/>
      </c>
      <c r="AV50" s="44">
        <f t="shared" si="30"/>
        <v>0</v>
      </c>
      <c r="AW50" s="44" t="str">
        <f t="shared" si="31"/>
        <v>-</v>
      </c>
      <c r="AX50" s="44" t="str">
        <f t="shared" si="10"/>
        <v/>
      </c>
      <c r="AY50" s="44"/>
      <c r="BA50" s="44">
        <f t="shared" si="19"/>
        <v>0</v>
      </c>
      <c r="BB50" s="44" t="str">
        <f t="shared" si="12"/>
        <v/>
      </c>
      <c r="BC50" s="44">
        <f t="shared" si="13"/>
        <v>0</v>
      </c>
      <c r="BD50" s="44" t="str">
        <f t="shared" si="14"/>
        <v/>
      </c>
      <c r="BE50" s="44" t="str">
        <f t="shared" si="15"/>
        <v/>
      </c>
      <c r="BG50" s="44">
        <f t="shared" si="20"/>
        <v>0</v>
      </c>
      <c r="BH50" s="44"/>
      <c r="BI50" s="44">
        <f t="shared" si="16"/>
        <v>0</v>
      </c>
      <c r="BJ50" s="44" t="str">
        <f t="shared" si="17"/>
        <v/>
      </c>
      <c r="BK50" s="44" t="str">
        <f t="shared" si="18"/>
        <v/>
      </c>
    </row>
    <row r="51" spans="1:63" ht="22.5" customHeight="1" x14ac:dyDescent="0.4">
      <c r="A51" s="585">
        <v>19</v>
      </c>
      <c r="B51" s="591"/>
      <c r="C51" s="587"/>
      <c r="D51" s="95" t="str">
        <f>IF(OR(S51=2),"変更前","")</f>
        <v/>
      </c>
      <c r="E51" s="55"/>
      <c r="F51" s="98"/>
      <c r="G51" s="98"/>
      <c r="H51" s="98"/>
      <c r="I51" s="98"/>
      <c r="J51" s="98"/>
      <c r="K51" s="98"/>
      <c r="L51" s="98"/>
      <c r="M51" s="101"/>
      <c r="N51" s="85" t="str">
        <f>IF(AND(W51&lt;&gt;"",M51&lt;&gt;"",OR(S51=1,S51=2,S51=3)),IFERROR(VLOOKUP(W51,競技一覧!#REF!,3+VLOOKUP(M51,リスト!$J$2:$K$5,2,FALSE),FALSE) * IF(S51=1,1,-1),""),IF(S51=5,マスタ!$C$15,IF(S51=6,-1*マスタ!$C$15,"")))</f>
        <v/>
      </c>
      <c r="O51" s="606" t="str">
        <f>IF($C51&lt;&gt;"",IFERROR(VALUE(N52),0)+IFERROR(VALUE(N51),0),"")</f>
        <v/>
      </c>
      <c r="P51" s="5" t="str">
        <f>IF(OR($S51=1,$S51=2,$S51=3),マスタ!$C$16,IF($C51&lt;&gt;"",0,""))</f>
        <v/>
      </c>
      <c r="Q51" s="91"/>
      <c r="S51" s="44" t="str">
        <f>IF(C51&lt;&gt;"",VLOOKUP(C51,リスト!$R$2:$S$9,2,FALSE),"")</f>
        <v/>
      </c>
      <c r="T51" s="44" t="str">
        <f>IF(OR(S51=2,S51=3),$AC$7,$Z$10)</f>
        <v>W10</v>
      </c>
      <c r="U51" s="44" t="str">
        <f ca="1">IF(OR(S51=2,S51=3),CELL("address",V51),IF(S51=1,$Z$7,$Z$10))</f>
        <v>W10</v>
      </c>
      <c r="V51" s="44" t="str">
        <f>IF(AND(OR(S51=2, S51=3),E51&lt;&gt;"",E51&lt;&gt;"-"),VLOOKUP(E51,エントリー!$A$8:$H$87,6,TRUE),"-")</f>
        <v>-</v>
      </c>
      <c r="W51" s="44" t="str">
        <f>IF(AND(F51&lt;&gt;"",F51&lt;&gt;"-"),VLOOKUP(F51,競技一覧!#REF!,5,FALSE),"")</f>
        <v/>
      </c>
      <c r="X51" s="44" t="str">
        <f ca="1">IF(OR(S51=2,S51=3),CELL("address",Y51),IF(OR(S51=4),CELL("address",Z51),IF(S51=1,$Z$8,$Z$10)))</f>
        <v>W10</v>
      </c>
      <c r="Y51" s="44" t="str">
        <f>IF(AND(E51&lt;&gt;"",E51&lt;&gt;"-"),VLOOKUP(E51,エントリー!$A$8:$H$87,7,TRUE),"-")</f>
        <v>-</v>
      </c>
      <c r="Z51" s="44" t="str">
        <f>IF(S51=4,H51 &amp; " " &amp; I51,"")</f>
        <v/>
      </c>
      <c r="AA51" s="44" t="str">
        <f ca="1">IF(S51=4,$AC$9,IF(OR(S51=1,S51=2,S51=3),CELL("address",AB51),$Z$10))</f>
        <v>W10</v>
      </c>
      <c r="AB51" s="44" t="str">
        <f>IF(AND(G51&lt;&gt;"",G51&lt;&gt;"-",OR(S51=1,S51=2,S51=3)),VLOOKUP(G51,選手登録!$N$8:$V$32,2,FALSE),"-")</f>
        <v>-</v>
      </c>
      <c r="AC51" s="44" t="str">
        <f ca="1">IF(OR(S51=1,S51=2,S51=3),CELL("address",AD51),IF(OR(S51=4),$AC$10,$Z$10))</f>
        <v>W10</v>
      </c>
      <c r="AD51" s="44" t="str">
        <f>IF(AND(G51&lt;&gt;"",G51&lt;&gt;"-",OR(S51=1,S51=2,S51=3)),VLOOKUP(G51,選手登録!$N$8:$V$32,3,FALSE),"-")</f>
        <v>-</v>
      </c>
      <c r="AE51" s="44" t="str">
        <f ca="1">IF(OR(S51=2,S51=3),CELL("address",AF51),IF(OR(S51=1,S51=6),$Z$9,IF(S51=5,"",$Z$10)))</f>
        <v>W10</v>
      </c>
      <c r="AF51" s="44" t="str">
        <f>IF(AND(E51&lt;&gt;"",E51&lt;&gt;"-",OR(S51=2,S51=3)),VLOOKUP(E51,エントリー!$A$8:$H$87,8,TRUE),$Z$10)</f>
        <v>W10</v>
      </c>
      <c r="AG51" s="44" t="str">
        <f ca="1">IF(OR(S51=2,S51=3),CELL("address",AH51),IF(S51=1,VLOOKUP(W51,競技一覧!#REF!,8,TRUE),$Z$10))</f>
        <v>W10</v>
      </c>
      <c r="AH51" s="44" t="str">
        <f>IF(AND(OR(S51=2,S51=3),E51&lt;&gt;"",E51&lt;&gt;"-"),VLOOKUP(E51,エントリー!$A$8:$G$87,10,TRUE),$Y$10)</f>
        <v>-</v>
      </c>
      <c r="AI51" s="44" t="str">
        <f>IF(G51&lt;&gt;"",G51,IF(Z51&lt;&gt;"",Z51,""))</f>
        <v/>
      </c>
      <c r="AK51" s="44" t="str">
        <f t="shared" si="22"/>
        <v/>
      </c>
      <c r="AL51" s="44" t="str">
        <f t="shared" si="23"/>
        <v/>
      </c>
      <c r="AM51" s="44" t="str">
        <f>IF(G51&lt;&gt;"",IFERROR(VLOOKUP(AI51,選手登録!$N$8:$P$57,4,FALSE),""),"")</f>
        <v/>
      </c>
      <c r="AN51" s="44" t="str">
        <f>IF(L51&lt;&gt;"",IFERROR(VLOOKUP(L51,馬匹登録!$B$8:$I$57,6,FALSE),""),"")</f>
        <v/>
      </c>
      <c r="AO51" s="44" t="str">
        <f>IFERROR(VLOOKUP(M51,リスト!$J$2:$K$5,2,FALSE),"")</f>
        <v/>
      </c>
      <c r="AP51" s="44" t="str">
        <f t="shared" si="24"/>
        <v/>
      </c>
      <c r="AQ51" s="44" t="str">
        <f t="shared" si="25"/>
        <v/>
      </c>
      <c r="AR51" s="44" t="str">
        <f t="shared" si="26"/>
        <v/>
      </c>
      <c r="AS51" s="44" t="str">
        <f t="shared" si="27"/>
        <v/>
      </c>
      <c r="AT51" s="44" t="str">
        <f t="shared" si="28"/>
        <v/>
      </c>
      <c r="AU51" s="44" t="str">
        <f t="shared" si="29"/>
        <v/>
      </c>
      <c r="AV51" s="44" t="str">
        <f t="shared" si="30"/>
        <v/>
      </c>
      <c r="AW51" s="44" t="str">
        <f t="shared" si="31"/>
        <v/>
      </c>
      <c r="AX51" s="44" t="str">
        <f t="shared" si="10"/>
        <v/>
      </c>
      <c r="AY51" s="44"/>
      <c r="BA51" s="44">
        <f t="shared" si="19"/>
        <v>0</v>
      </c>
      <c r="BB51" s="44" t="str">
        <f t="shared" si="12"/>
        <v/>
      </c>
      <c r="BC51" s="44">
        <f t="shared" si="13"/>
        <v>19</v>
      </c>
      <c r="BD51" s="44" t="str">
        <f t="shared" si="14"/>
        <v/>
      </c>
      <c r="BE51" s="44" t="str">
        <f t="shared" si="15"/>
        <v/>
      </c>
      <c r="BG51" s="44">
        <f t="shared" si="20"/>
        <v>0</v>
      </c>
      <c r="BH51" s="44" t="str">
        <f t="shared" si="21"/>
        <v/>
      </c>
      <c r="BI51" s="44">
        <f t="shared" si="16"/>
        <v>19</v>
      </c>
      <c r="BJ51" s="44" t="str">
        <f t="shared" si="17"/>
        <v/>
      </c>
      <c r="BK51" s="44" t="str">
        <f t="shared" si="18"/>
        <v/>
      </c>
    </row>
    <row r="52" spans="1:63" ht="22.5" customHeight="1" x14ac:dyDescent="0.4">
      <c r="A52" s="590"/>
      <c r="B52" s="592"/>
      <c r="C52" s="589"/>
      <c r="D52" s="96" t="str">
        <f>IF(OR(S51=2),"変更後","")</f>
        <v/>
      </c>
      <c r="E52" s="56"/>
      <c r="F52" s="99"/>
      <c r="G52" s="99"/>
      <c r="H52" s="99"/>
      <c r="I52" s="99"/>
      <c r="J52" s="99"/>
      <c r="K52" s="99"/>
      <c r="L52" s="99"/>
      <c r="M52" s="102"/>
      <c r="N52" s="54" t="str">
        <f>IF(AND(W52&lt;&gt;"",M52&lt;&gt;"",S51=2),IFERROR(VLOOKUP(W52,競技一覧!#REF!,3+VLOOKUP(M52,リスト!$J$2:$K$5,2,FALSE),FALSE),""),"")</f>
        <v/>
      </c>
      <c r="O52" s="597"/>
      <c r="P52" s="7" t="s">
        <v>8</v>
      </c>
      <c r="Q52" s="92"/>
      <c r="S52" s="44" t="str">
        <f>S51</f>
        <v/>
      </c>
      <c r="T52" s="44" t="str">
        <f>$Z$10</f>
        <v>W10</v>
      </c>
      <c r="U52" s="44" t="str">
        <f>IF(S51=2,$Z$7,$Z$10)</f>
        <v>W10</v>
      </c>
      <c r="V52" s="44"/>
      <c r="W52" s="44" t="str">
        <f>IF(AND(F52&lt;&gt;"",F52&lt;&gt;"-"),VLOOKUP(F52,競技一覧!#REF!,5,FALSE),"")</f>
        <v/>
      </c>
      <c r="X52" s="44" t="str">
        <f>IF(OR(S52=2),$Z$8,$Z$10)</f>
        <v>W10</v>
      </c>
      <c r="Y52" s="44"/>
      <c r="Z52" s="44"/>
      <c r="AA52" s="44" t="str">
        <f>IF(S52=2,$AC$9,IF(S52=4,$AF$7,$Z$10))</f>
        <v>W10</v>
      </c>
      <c r="AB52" s="44" t="str">
        <f>IF(AND(G52&lt;&gt;"",G52&lt;&gt;"-",S52=2),VLOOKUP(G52,選手登録!$N$8:$V$32,2,FALSE),"-")</f>
        <v>-</v>
      </c>
      <c r="AC52" s="44" t="str">
        <f ca="1">IF(OR(S52=2),CELL("address",AD52),IF(OR(S52=4,S52=5),"",$Z$10))</f>
        <v>W10</v>
      </c>
      <c r="AD52" s="44" t="str">
        <f>IF(AND(G52&lt;&gt;"",G52&lt;&gt;"-",S52=2),VLOOKUP(G52,選手登録!$N$8:$V$32,3,FALSE),"-")</f>
        <v>-</v>
      </c>
      <c r="AE52" s="44" t="str">
        <f>IF(OR(S52=2),$Z$9,IF(S52=5,"",$Z$10))</f>
        <v>W10</v>
      </c>
      <c r="AF52" s="44" t="str">
        <f>IF(AND(E52&lt;&gt;"",E52&lt;&gt;"-",OR(S52=2,S52=3)),VLOOKUP(E52,エントリー!$A$8:$H$87,8,TRUE),$Z$10)</f>
        <v>W10</v>
      </c>
      <c r="AG52" s="44" t="str">
        <f>IF(S52=2,VLOOKUP(W52,競技一覧!#REF!,8,TRUE),$Z$10)</f>
        <v>W10</v>
      </c>
      <c r="AH52" s="44"/>
      <c r="AI52" s="44"/>
      <c r="AK52" s="44" t="str">
        <f t="shared" si="22"/>
        <v/>
      </c>
      <c r="AL52" s="44" t="str">
        <f t="shared" si="23"/>
        <v/>
      </c>
      <c r="AM52" s="44" t="str">
        <f>IF(G52&lt;&gt;"",IFERROR(VLOOKUP(AI52,選手登録!$N$8:$P$57,4,FALSE),""),"")</f>
        <v/>
      </c>
      <c r="AN52" s="44" t="str">
        <f>IF(L52&lt;&gt;"",IFERROR(VLOOKUP(L52,馬匹登録!$B$8:$I$57,6,FALSE),""),"")</f>
        <v/>
      </c>
      <c r="AO52" s="44" t="str">
        <f>IFERROR(VLOOKUP(M52,リスト!$J$2:$K$5,2,FALSE),"")</f>
        <v/>
      </c>
      <c r="AP52" s="44" t="str">
        <f t="shared" si="24"/>
        <v/>
      </c>
      <c r="AQ52" s="44" t="str">
        <f t="shared" si="25"/>
        <v/>
      </c>
      <c r="AR52" s="44" t="str">
        <f t="shared" si="26"/>
        <v/>
      </c>
      <c r="AS52" s="44" t="str">
        <f t="shared" si="27"/>
        <v/>
      </c>
      <c r="AT52" s="44" t="str">
        <f t="shared" si="28"/>
        <v/>
      </c>
      <c r="AU52" s="44" t="str">
        <f t="shared" si="29"/>
        <v/>
      </c>
      <c r="AV52" s="44">
        <f t="shared" si="30"/>
        <v>0</v>
      </c>
      <c r="AW52" s="44" t="str">
        <f t="shared" si="31"/>
        <v>-</v>
      </c>
      <c r="AX52" s="44" t="str">
        <f t="shared" si="10"/>
        <v/>
      </c>
      <c r="AY52" s="44"/>
      <c r="BA52" s="44">
        <f t="shared" si="19"/>
        <v>0</v>
      </c>
      <c r="BB52" s="44" t="str">
        <f t="shared" si="12"/>
        <v/>
      </c>
      <c r="BC52" s="44">
        <f t="shared" si="13"/>
        <v>0</v>
      </c>
      <c r="BD52" s="44" t="str">
        <f t="shared" si="14"/>
        <v/>
      </c>
      <c r="BE52" s="44" t="str">
        <f t="shared" si="15"/>
        <v/>
      </c>
      <c r="BG52" s="44">
        <f t="shared" si="20"/>
        <v>0</v>
      </c>
      <c r="BH52" s="44"/>
      <c r="BI52" s="44">
        <f t="shared" si="16"/>
        <v>0</v>
      </c>
      <c r="BJ52" s="44" t="str">
        <f t="shared" si="17"/>
        <v/>
      </c>
      <c r="BK52" s="44" t="str">
        <f t="shared" si="18"/>
        <v/>
      </c>
    </row>
    <row r="53" spans="1:63" ht="22.5" customHeight="1" x14ac:dyDescent="0.4">
      <c r="A53" s="585">
        <v>20</v>
      </c>
      <c r="B53" s="591"/>
      <c r="C53" s="587"/>
      <c r="D53" s="95" t="str">
        <f>IF(OR(S53=2),"変更前","")</f>
        <v/>
      </c>
      <c r="E53" s="55"/>
      <c r="F53" s="98"/>
      <c r="G53" s="98"/>
      <c r="H53" s="98"/>
      <c r="I53" s="98"/>
      <c r="J53" s="98"/>
      <c r="K53" s="98"/>
      <c r="L53" s="98"/>
      <c r="M53" s="101"/>
      <c r="N53" s="85" t="str">
        <f>IF(AND(W53&lt;&gt;"",M53&lt;&gt;"",OR(S53=1,S53=2,S53=3)),IFERROR(VLOOKUP(W53,競技一覧!#REF!,3+VLOOKUP(M53,リスト!$J$2:$K$5,2,FALSE),FALSE) * IF(S53=1,1,-1),""),IF(S53=5,マスタ!$C$15,IF(S53=6,-1*マスタ!$C$15,"")))</f>
        <v/>
      </c>
      <c r="O53" s="606" t="str">
        <f>IF($C53&lt;&gt;"",IFERROR(VALUE(N54),0)+IFERROR(VALUE(N53),0),"")</f>
        <v/>
      </c>
      <c r="P53" s="5" t="str">
        <f>IF(OR($S53=1,$S53=2,$S53=3),マスタ!$C$16,IF($C53&lt;&gt;"",0,""))</f>
        <v/>
      </c>
      <c r="Q53" s="91"/>
      <c r="S53" s="44" t="str">
        <f>IF(C53&lt;&gt;"",VLOOKUP(C53,リスト!$R$2:$S$9,2,FALSE),"")</f>
        <v/>
      </c>
      <c r="T53" s="44" t="str">
        <f>IF(OR(S53=2,S53=3),$AC$7,$Z$10)</f>
        <v>W10</v>
      </c>
      <c r="U53" s="44" t="str">
        <f ca="1">IF(OR(S53=2,S53=3),CELL("address",V53),IF(S53=1,$Z$7,$Z$10))</f>
        <v>W10</v>
      </c>
      <c r="V53" s="44" t="str">
        <f>IF(AND(OR(S53=2, S53=3),E53&lt;&gt;"",E53&lt;&gt;"-"),VLOOKUP(E53,エントリー!$A$8:$H$87,6,TRUE),"-")</f>
        <v>-</v>
      </c>
      <c r="W53" s="44" t="str">
        <f>IF(AND(F53&lt;&gt;"",F53&lt;&gt;"-"),VLOOKUP(F53,競技一覧!#REF!,5,FALSE),"")</f>
        <v/>
      </c>
      <c r="X53" s="44" t="str">
        <f ca="1">IF(OR(S53=2,S53=3),CELL("address",Y53),IF(OR(S53=4),CELL("address",Z53),IF(S53=1,$Z$8,$Z$10)))</f>
        <v>W10</v>
      </c>
      <c r="Y53" s="44" t="str">
        <f>IF(AND(E53&lt;&gt;"",E53&lt;&gt;"-"),VLOOKUP(E53,エントリー!$A$8:$H$87,7,TRUE),"-")</f>
        <v>-</v>
      </c>
      <c r="Z53" s="44" t="str">
        <f>IF(S53=4,H53 &amp; " " &amp; I53,"")</f>
        <v/>
      </c>
      <c r="AA53" s="44" t="str">
        <f ca="1">IF(S53=4,$AC$9,IF(OR(S53=1,S53=2,S53=3),CELL("address",AB53),$Z$10))</f>
        <v>W10</v>
      </c>
      <c r="AB53" s="44" t="str">
        <f>IF(AND(G53&lt;&gt;"",G53&lt;&gt;"-",OR(S53=1,S53=2,S53=3)),VLOOKUP(G53,選手登録!$N$8:$V$32,2,FALSE),"-")</f>
        <v>-</v>
      </c>
      <c r="AC53" s="44" t="str">
        <f ca="1">IF(OR(S53=1,S53=2,S53=3),CELL("address",AD53),IF(OR(S53=4),$AC$10,$Z$10))</f>
        <v>W10</v>
      </c>
      <c r="AD53" s="44" t="str">
        <f>IF(AND(G53&lt;&gt;"",G53&lt;&gt;"-",OR(S53=1,S53=2,S53=3)),VLOOKUP(G53,選手登録!$N$8:$V$32,3,FALSE),"-")</f>
        <v>-</v>
      </c>
      <c r="AE53" s="44" t="str">
        <f ca="1">IF(OR(S53=2,S53=3),CELL("address",AF53),IF(OR(S53=1,S53=6),$Z$9,IF(S53=5,"",$Z$10)))</f>
        <v>W10</v>
      </c>
      <c r="AF53" s="44" t="str">
        <f>IF(AND(E53&lt;&gt;"",E53&lt;&gt;"-",OR(S53=2,S53=3)),VLOOKUP(E53,エントリー!$A$8:$H$87,8,TRUE),$Z$10)</f>
        <v>W10</v>
      </c>
      <c r="AG53" s="44" t="str">
        <f ca="1">IF(OR(S53=2,S53=3),CELL("address",AH53),IF(S53=1,VLOOKUP(W53,競技一覧!#REF!,8,TRUE),$Z$10))</f>
        <v>W10</v>
      </c>
      <c r="AH53" s="44" t="str">
        <f>IF(AND(OR(S53=2,S53=3),E53&lt;&gt;"",E53&lt;&gt;"-"),VLOOKUP(E53,エントリー!$A$8:$G$87,10,TRUE),$Y$10)</f>
        <v>-</v>
      </c>
      <c r="AI53" s="44" t="str">
        <f>IF(G53&lt;&gt;"",G53,IF(Z53&lt;&gt;"",Z53,""))</f>
        <v/>
      </c>
      <c r="AK53" s="44" t="str">
        <f t="shared" si="22"/>
        <v/>
      </c>
      <c r="AL53" s="44" t="str">
        <f t="shared" si="23"/>
        <v/>
      </c>
      <c r="AM53" s="44" t="str">
        <f>IF(G53&lt;&gt;"",IFERROR(VLOOKUP(AI53,選手登録!$N$8:$P$57,4,FALSE),""),"")</f>
        <v/>
      </c>
      <c r="AN53" s="44" t="str">
        <f>IF(L53&lt;&gt;"",IFERROR(VLOOKUP(L53,馬匹登録!$B$8:$I$57,6,FALSE),""),"")</f>
        <v/>
      </c>
      <c r="AO53" s="44" t="str">
        <f>IFERROR(VLOOKUP(M53,リスト!$J$2:$K$5,2,FALSE),"")</f>
        <v/>
      </c>
      <c r="AP53" s="44" t="str">
        <f t="shared" si="24"/>
        <v/>
      </c>
      <c r="AQ53" s="44" t="str">
        <f t="shared" si="25"/>
        <v/>
      </c>
      <c r="AR53" s="44" t="str">
        <f t="shared" si="26"/>
        <v/>
      </c>
      <c r="AS53" s="44" t="str">
        <f t="shared" si="27"/>
        <v/>
      </c>
      <c r="AT53" s="44" t="str">
        <f t="shared" si="28"/>
        <v/>
      </c>
      <c r="AU53" s="44" t="str">
        <f t="shared" si="29"/>
        <v/>
      </c>
      <c r="AV53" s="44" t="str">
        <f t="shared" si="30"/>
        <v/>
      </c>
      <c r="AW53" s="44" t="str">
        <f t="shared" si="31"/>
        <v/>
      </c>
      <c r="AX53" s="44" t="str">
        <f t="shared" si="10"/>
        <v/>
      </c>
      <c r="AY53" s="44"/>
      <c r="BA53" s="44">
        <f t="shared" si="19"/>
        <v>0</v>
      </c>
      <c r="BB53" s="44" t="str">
        <f t="shared" si="12"/>
        <v/>
      </c>
      <c r="BC53" s="44">
        <f t="shared" si="13"/>
        <v>20</v>
      </c>
      <c r="BD53" s="44" t="str">
        <f t="shared" si="14"/>
        <v/>
      </c>
      <c r="BE53" s="44" t="str">
        <f t="shared" si="15"/>
        <v/>
      </c>
      <c r="BG53" s="44">
        <f t="shared" si="20"/>
        <v>0</v>
      </c>
      <c r="BH53" s="44" t="str">
        <f t="shared" si="21"/>
        <v/>
      </c>
      <c r="BI53" s="44">
        <f t="shared" si="16"/>
        <v>20</v>
      </c>
      <c r="BJ53" s="44" t="str">
        <f t="shared" si="17"/>
        <v/>
      </c>
      <c r="BK53" s="44" t="str">
        <f t="shared" si="18"/>
        <v/>
      </c>
    </row>
    <row r="54" spans="1:63" ht="22.5" customHeight="1" thickBot="1" x14ac:dyDescent="0.45">
      <c r="A54" s="586"/>
      <c r="B54" s="593"/>
      <c r="C54" s="588"/>
      <c r="D54" s="97" t="str">
        <f>IF(OR(S53=2),"変更後","")</f>
        <v/>
      </c>
      <c r="E54" s="59"/>
      <c r="F54" s="100"/>
      <c r="G54" s="100"/>
      <c r="H54" s="100"/>
      <c r="I54" s="100"/>
      <c r="J54" s="100"/>
      <c r="K54" s="100"/>
      <c r="L54" s="100"/>
      <c r="M54" s="103"/>
      <c r="N54" s="104" t="str">
        <f>IF(AND(W54&lt;&gt;"",M54&lt;&gt;"",S53=2),IFERROR(VLOOKUP(W54,競技一覧!#REF!,3+VLOOKUP(M54,リスト!$J$2:$K$5,2,FALSE),FALSE),""),"")</f>
        <v/>
      </c>
      <c r="O54" s="614"/>
      <c r="P54" s="108" t="s">
        <v>8</v>
      </c>
      <c r="Q54" s="93"/>
      <c r="S54" s="44" t="str">
        <f>S53</f>
        <v/>
      </c>
      <c r="T54" s="44" t="str">
        <f>$Z$10</f>
        <v>W10</v>
      </c>
      <c r="U54" s="44" t="str">
        <f>IF(S53=2,$Z$7,$Z$10)</f>
        <v>W10</v>
      </c>
      <c r="V54" s="44"/>
      <c r="W54" s="44" t="str">
        <f>IF(AND(F54&lt;&gt;"",F54&lt;&gt;"-"),VLOOKUP(F54,競技一覧!#REF!,5,FALSE),"")</f>
        <v/>
      </c>
      <c r="X54" s="44" t="str">
        <f>IF(OR(S54=2),$Z$8,$Z$10)</f>
        <v>W10</v>
      </c>
      <c r="Y54" s="44"/>
      <c r="Z54" s="44"/>
      <c r="AA54" s="44" t="str">
        <f>IF(S54=2,$AC$9,IF(S54=4,$AF$7,$Z$10))</f>
        <v>W10</v>
      </c>
      <c r="AB54" s="44" t="str">
        <f>IF(AND(G54&lt;&gt;"",G54&lt;&gt;"-",S54=2),VLOOKUP(G54,選手登録!$N$8:$V$32,2,FALSE),"-")</f>
        <v>-</v>
      </c>
      <c r="AC54" s="44" t="str">
        <f ca="1">IF(OR(S54=2),CELL("address",AD54),IF(OR(S54=4,S54=5),"",$Z$10))</f>
        <v>W10</v>
      </c>
      <c r="AD54" s="44" t="str">
        <f>IF(AND(G54&lt;&gt;"",G54&lt;&gt;"-",S54=2),VLOOKUP(G54,選手登録!$N$8:$V$32,3,FALSE),"-")</f>
        <v>-</v>
      </c>
      <c r="AE54" s="44" t="str">
        <f>IF(OR(S54=2),$Z$9,IF(S54=5,"",$Z$10))</f>
        <v>W10</v>
      </c>
      <c r="AF54" s="44" t="str">
        <f>IF(AND(E54&lt;&gt;"",E54&lt;&gt;"-",OR(S54=2,S54=3)),VLOOKUP(E54,エントリー!$A$8:$H$87,8,TRUE),$Z$10)</f>
        <v>W10</v>
      </c>
      <c r="AG54" s="44" t="str">
        <f>IF(S54=2,VLOOKUP(W54,競技一覧!#REF!,8,TRUE),$Z$10)</f>
        <v>W10</v>
      </c>
      <c r="AH54" s="44"/>
      <c r="AI54" s="44"/>
      <c r="AK54" s="44" t="str">
        <f t="shared" si="22"/>
        <v/>
      </c>
      <c r="AL54" s="44" t="str">
        <f t="shared" si="23"/>
        <v/>
      </c>
      <c r="AM54" s="44" t="str">
        <f>IF(G54&lt;&gt;"",IFERROR(VLOOKUP(AI54,選手登録!$N$8:$P$57,4,FALSE),""),"")</f>
        <v/>
      </c>
      <c r="AN54" s="44" t="str">
        <f>IF(L54&lt;&gt;"",IFERROR(VLOOKUP(L54,馬匹登録!$B$8:$I$57,6,FALSE),""),"")</f>
        <v/>
      </c>
      <c r="AO54" s="44" t="str">
        <f>IFERROR(VLOOKUP(M54,リスト!$J$2:$K$5,2,FALSE),"")</f>
        <v/>
      </c>
      <c r="AP54" s="44" t="str">
        <f t="shared" si="24"/>
        <v/>
      </c>
      <c r="AQ54" s="44" t="str">
        <f t="shared" si="25"/>
        <v/>
      </c>
      <c r="AR54" s="44" t="str">
        <f t="shared" si="26"/>
        <v/>
      </c>
      <c r="AS54" s="44" t="str">
        <f t="shared" si="27"/>
        <v/>
      </c>
      <c r="AT54" s="44" t="str">
        <f t="shared" si="28"/>
        <v/>
      </c>
      <c r="AU54" s="44" t="str">
        <f t="shared" si="29"/>
        <v/>
      </c>
      <c r="AV54" s="44">
        <f>O54</f>
        <v>0</v>
      </c>
      <c r="AW54" s="44" t="str">
        <f t="shared" si="31"/>
        <v>-</v>
      </c>
      <c r="AX54" s="44" t="str">
        <f t="shared" si="10"/>
        <v/>
      </c>
      <c r="AY54" s="44"/>
      <c r="BA54" s="44">
        <f t="shared" si="19"/>
        <v>0</v>
      </c>
      <c r="BB54" s="44" t="str">
        <f t="shared" si="12"/>
        <v/>
      </c>
      <c r="BC54" s="44">
        <f t="shared" si="13"/>
        <v>0</v>
      </c>
      <c r="BD54" s="44" t="str">
        <f t="shared" si="14"/>
        <v/>
      </c>
      <c r="BE54" s="44" t="str">
        <f t="shared" si="15"/>
        <v/>
      </c>
      <c r="BG54" s="44">
        <f t="shared" si="20"/>
        <v>0</v>
      </c>
      <c r="BH54" s="44"/>
      <c r="BI54" s="44">
        <f t="shared" si="16"/>
        <v>0</v>
      </c>
      <c r="BJ54" s="44" t="str">
        <f t="shared" si="17"/>
        <v/>
      </c>
      <c r="BK54" s="44" t="str">
        <f t="shared" si="18"/>
        <v/>
      </c>
    </row>
    <row r="55" spans="1:63" x14ac:dyDescent="0.4">
      <c r="AM55" t="str">
        <f>IF(G55&lt;&gt;"",IFERROR(VLOOKUP(G55,選手登録!$N$8:$P$57,4,FALSE),""),"")</f>
        <v/>
      </c>
    </row>
  </sheetData>
  <sheetProtection algorithmName="SHA-512" hashValue="D15dKoMWvv1vZ8W9tDYqwi1zCuWNcjmXitNgl+1JRy82ljMrxd64YtrGUfkccKMSNNeWLzzPdPZMRDyAIAQblA==" saltValue="IvcOqpJt1q16qVNUF8liKQ==" spinCount="100000" sheet="1" objects="1" scenarios="1" autoFilter="0"/>
  <dataConsolidate/>
  <mergeCells count="115">
    <mergeCell ref="O53:O54"/>
    <mergeCell ref="O27:O28"/>
    <mergeCell ref="O29:O30"/>
    <mergeCell ref="O31:O32"/>
    <mergeCell ref="O33:O34"/>
    <mergeCell ref="O35:O36"/>
    <mergeCell ref="O37:O38"/>
    <mergeCell ref="O43:O44"/>
    <mergeCell ref="O45:O46"/>
    <mergeCell ref="O47:O48"/>
    <mergeCell ref="O49:O50"/>
    <mergeCell ref="O51:O52"/>
    <mergeCell ref="A39:A40"/>
    <mergeCell ref="C39:C40"/>
    <mergeCell ref="A41:A42"/>
    <mergeCell ref="C41:C42"/>
    <mergeCell ref="O39:O40"/>
    <mergeCell ref="O41:O42"/>
    <mergeCell ref="Q12:Q14"/>
    <mergeCell ref="M12:M14"/>
    <mergeCell ref="N12:N14"/>
    <mergeCell ref="C15:C16"/>
    <mergeCell ref="A21:A22"/>
    <mergeCell ref="B19:B20"/>
    <mergeCell ref="B21:B22"/>
    <mergeCell ref="B23:B24"/>
    <mergeCell ref="B25:B26"/>
    <mergeCell ref="B27:B28"/>
    <mergeCell ref="O19:O20"/>
    <mergeCell ref="O21:O22"/>
    <mergeCell ref="O23:O24"/>
    <mergeCell ref="O25:O26"/>
    <mergeCell ref="B35:B36"/>
    <mergeCell ref="B37:B38"/>
    <mergeCell ref="B39:B40"/>
    <mergeCell ref="B41:B42"/>
    <mergeCell ref="A51:A52"/>
    <mergeCell ref="C51:C52"/>
    <mergeCell ref="A53:A54"/>
    <mergeCell ref="C53:C54"/>
    <mergeCell ref="A47:A48"/>
    <mergeCell ref="C47:C48"/>
    <mergeCell ref="A49:A50"/>
    <mergeCell ref="C49:C50"/>
    <mergeCell ref="A43:A44"/>
    <mergeCell ref="C43:C44"/>
    <mergeCell ref="A45:A46"/>
    <mergeCell ref="C45:C46"/>
    <mergeCell ref="B45:B46"/>
    <mergeCell ref="B47:B48"/>
    <mergeCell ref="B49:B50"/>
    <mergeCell ref="B51:B52"/>
    <mergeCell ref="B53:B54"/>
    <mergeCell ref="B43:B44"/>
    <mergeCell ref="AO13:AO14"/>
    <mergeCell ref="A35:A36"/>
    <mergeCell ref="C35:C36"/>
    <mergeCell ref="A37:A38"/>
    <mergeCell ref="C37:C38"/>
    <mergeCell ref="AH13:AH14"/>
    <mergeCell ref="AK13:AK14"/>
    <mergeCell ref="AL13:AL14"/>
    <mergeCell ref="AM13:AM14"/>
    <mergeCell ref="AN13:AN14"/>
    <mergeCell ref="AC13:AC14"/>
    <mergeCell ref="AD13:AD14"/>
    <mergeCell ref="AE13:AE14"/>
    <mergeCell ref="AF13:AF14"/>
    <mergeCell ref="AG13:AG14"/>
    <mergeCell ref="X13:X14"/>
    <mergeCell ref="Y13:Y14"/>
    <mergeCell ref="Z13:Z14"/>
    <mergeCell ref="AA13:AA14"/>
    <mergeCell ref="AB13:AB14"/>
    <mergeCell ref="V13:V14"/>
    <mergeCell ref="W13:W14"/>
    <mergeCell ref="D12:D14"/>
    <mergeCell ref="E12:E14"/>
    <mergeCell ref="T13:T14"/>
    <mergeCell ref="O15:O16"/>
    <mergeCell ref="A17:A18"/>
    <mergeCell ref="U13:U14"/>
    <mergeCell ref="O17:O18"/>
    <mergeCell ref="B12:B14"/>
    <mergeCell ref="B15:B16"/>
    <mergeCell ref="B17:B18"/>
    <mergeCell ref="A19:A20"/>
    <mergeCell ref="A1:Q1"/>
    <mergeCell ref="A29:A30"/>
    <mergeCell ref="C17:C18"/>
    <mergeCell ref="C19:C20"/>
    <mergeCell ref="C21:C22"/>
    <mergeCell ref="A3:F3"/>
    <mergeCell ref="A27:A28"/>
    <mergeCell ref="O12:O14"/>
    <mergeCell ref="P12:P14"/>
    <mergeCell ref="A12:A14"/>
    <mergeCell ref="A15:A16"/>
    <mergeCell ref="F12:F14"/>
    <mergeCell ref="G12:K12"/>
    <mergeCell ref="C12:C14"/>
    <mergeCell ref="A2:Q2"/>
    <mergeCell ref="A33:A34"/>
    <mergeCell ref="C33:C34"/>
    <mergeCell ref="C29:C30"/>
    <mergeCell ref="C31:C32"/>
    <mergeCell ref="A23:A24"/>
    <mergeCell ref="A25:A26"/>
    <mergeCell ref="A31:A32"/>
    <mergeCell ref="C23:C24"/>
    <mergeCell ref="C25:C26"/>
    <mergeCell ref="C27:C28"/>
    <mergeCell ref="B29:B30"/>
    <mergeCell ref="B31:B32"/>
    <mergeCell ref="B33:B34"/>
  </mergeCells>
  <phoneticPr fontId="4"/>
  <conditionalFormatting sqref="E15:G15 J15:M15 J17:M17 J19:M19 J21:M21 J23:M23 J25:M25 J27:M27 J29:M29 J31:M31 J33:M33 J35:M35 J37:M37 J39:M39 J41:M41 J43:M43 J45:M45 J47:M47 J49:M49 J51:M51 J53:M53">
    <cfRule type="expression" dxfId="141" priority="211">
      <formula>$S15=3</formula>
    </cfRule>
  </conditionalFormatting>
  <conditionalFormatting sqref="E15:G15">
    <cfRule type="expression" dxfId="140" priority="213">
      <formula>$S15=2</formula>
    </cfRule>
  </conditionalFormatting>
  <conditionalFormatting sqref="E17:G17">
    <cfRule type="expression" dxfId="139" priority="204">
      <formula>$S17=2</formula>
    </cfRule>
    <cfRule type="expression" dxfId="138" priority="202">
      <formula>$S17=3</formula>
    </cfRule>
  </conditionalFormatting>
  <conditionalFormatting sqref="E19:G19">
    <cfRule type="expression" dxfId="137" priority="195">
      <formula>$S19=2</formula>
    </cfRule>
    <cfRule type="expression" dxfId="136" priority="193">
      <formula>$S19=3</formula>
    </cfRule>
  </conditionalFormatting>
  <conditionalFormatting sqref="E21:G21">
    <cfRule type="expression" dxfId="135" priority="186">
      <formula>$S21=2</formula>
    </cfRule>
    <cfRule type="expression" dxfId="134" priority="184">
      <formula>$S21=3</formula>
    </cfRule>
  </conditionalFormatting>
  <conditionalFormatting sqref="E23:G23">
    <cfRule type="expression" dxfId="133" priority="175">
      <formula>$S23=3</formula>
    </cfRule>
    <cfRule type="expression" dxfId="132" priority="177">
      <formula>$S23=2</formula>
    </cfRule>
  </conditionalFormatting>
  <conditionalFormatting sqref="E25:G25">
    <cfRule type="expression" dxfId="131" priority="166">
      <formula>$S25=3</formula>
    </cfRule>
    <cfRule type="expression" dxfId="130" priority="168">
      <formula>$S25=2</formula>
    </cfRule>
  </conditionalFormatting>
  <conditionalFormatting sqref="E27:G27">
    <cfRule type="expression" dxfId="129" priority="157">
      <formula>$S27=3</formula>
    </cfRule>
    <cfRule type="expression" dxfId="128" priority="159">
      <formula>$S27=2</formula>
    </cfRule>
  </conditionalFormatting>
  <conditionalFormatting sqref="E29:G29">
    <cfRule type="expression" dxfId="127" priority="148">
      <formula>$S29=3</formula>
    </cfRule>
    <cfRule type="expression" dxfId="126" priority="150">
      <formula>$S29=2</formula>
    </cfRule>
  </conditionalFormatting>
  <conditionalFormatting sqref="E31:G31">
    <cfRule type="expression" dxfId="125" priority="141">
      <formula>$S31=2</formula>
    </cfRule>
    <cfRule type="expression" dxfId="124" priority="139">
      <formula>$S31=3</formula>
    </cfRule>
  </conditionalFormatting>
  <conditionalFormatting sqref="E33:G33">
    <cfRule type="expression" dxfId="123" priority="130">
      <formula>$S33=3</formula>
    </cfRule>
    <cfRule type="expression" dxfId="122" priority="132">
      <formula>$S33=2</formula>
    </cfRule>
  </conditionalFormatting>
  <conditionalFormatting sqref="E35:G35">
    <cfRule type="expression" dxfId="121" priority="100">
      <formula>$S35=3</formula>
    </cfRule>
    <cfRule type="expression" dxfId="120" priority="102">
      <formula>$S35=2</formula>
    </cfRule>
  </conditionalFormatting>
  <conditionalFormatting sqref="E37:G37">
    <cfRule type="expression" dxfId="119" priority="91">
      <formula>$S37=3</formula>
    </cfRule>
    <cfRule type="expression" dxfId="118" priority="93">
      <formula>$S37=2</formula>
    </cfRule>
  </conditionalFormatting>
  <conditionalFormatting sqref="E39:G39">
    <cfRule type="expression" dxfId="117" priority="82">
      <formula>$S39=3</formula>
    </cfRule>
    <cfRule type="expression" dxfId="116" priority="84">
      <formula>$S39=2</formula>
    </cfRule>
  </conditionalFormatting>
  <conditionalFormatting sqref="E41:G41">
    <cfRule type="expression" dxfId="115" priority="76">
      <formula>$S41=2</formula>
    </cfRule>
    <cfRule type="expression" dxfId="114" priority="74">
      <formula>$S41=3</formula>
    </cfRule>
  </conditionalFormatting>
  <conditionalFormatting sqref="E43:G43">
    <cfRule type="expression" dxfId="113" priority="68">
      <formula>$S43=2</formula>
    </cfRule>
    <cfRule type="expression" dxfId="112" priority="66">
      <formula>$S43=3</formula>
    </cfRule>
  </conditionalFormatting>
  <conditionalFormatting sqref="E45:G45">
    <cfRule type="expression" dxfId="111" priority="58">
      <formula>$S45=3</formula>
    </cfRule>
    <cfRule type="expression" dxfId="110" priority="60">
      <formula>$S45=2</formula>
    </cfRule>
  </conditionalFormatting>
  <conditionalFormatting sqref="E47:G47">
    <cfRule type="expression" dxfId="109" priority="50">
      <formula>$S47=3</formula>
    </cfRule>
    <cfRule type="expression" dxfId="108" priority="52">
      <formula>$S47=2</formula>
    </cfRule>
  </conditionalFormatting>
  <conditionalFormatting sqref="E49:G49">
    <cfRule type="expression" dxfId="107" priority="42">
      <formula>$S49=3</formula>
    </cfRule>
    <cfRule type="expression" dxfId="106" priority="44">
      <formula>$S49=2</formula>
    </cfRule>
  </conditionalFormatting>
  <conditionalFormatting sqref="E51:G51">
    <cfRule type="expression" dxfId="105" priority="34">
      <formula>$S51=3</formula>
    </cfRule>
    <cfRule type="expression" dxfId="104" priority="36">
      <formula>$S51=2</formula>
    </cfRule>
  </conditionalFormatting>
  <conditionalFormatting sqref="E53:G53">
    <cfRule type="expression" dxfId="103" priority="28">
      <formula>$S53=2</formula>
    </cfRule>
    <cfRule type="expression" dxfId="102" priority="26">
      <formula>$S53=3</formula>
    </cfRule>
  </conditionalFormatting>
  <conditionalFormatting sqref="F15:G15 J15:M15 J17:M17 J19:M19 J21:M21 J23:M23 J25:M25 J27:M27 J29:M29 J31:M31 J33:M33 J35:M35 J37:M37 J39:M39 J41:M41 J43:M43 J45:M45 J47:M47 J49:M49 J51:M51 J53:M53">
    <cfRule type="expression" dxfId="101" priority="215">
      <formula>$S15=1</formula>
    </cfRule>
  </conditionalFormatting>
  <conditionalFormatting sqref="F16:G16">
    <cfRule type="expression" dxfId="100" priority="212">
      <formula>$S16=2</formula>
    </cfRule>
  </conditionalFormatting>
  <conditionalFormatting sqref="F17:G17">
    <cfRule type="expression" dxfId="99" priority="206">
      <formula>$S17=1</formula>
    </cfRule>
  </conditionalFormatting>
  <conditionalFormatting sqref="F18:G18">
    <cfRule type="expression" dxfId="98" priority="203">
      <formula>$S18=2</formula>
    </cfRule>
  </conditionalFormatting>
  <conditionalFormatting sqref="F19:G19">
    <cfRule type="expression" dxfId="97" priority="197">
      <formula>$S19=1</formula>
    </cfRule>
  </conditionalFormatting>
  <conditionalFormatting sqref="F20:G20">
    <cfRule type="expression" dxfId="96" priority="194">
      <formula>$S20=2</formula>
    </cfRule>
  </conditionalFormatting>
  <conditionalFormatting sqref="F21:G21">
    <cfRule type="expression" dxfId="95" priority="188">
      <formula>$S21=1</formula>
    </cfRule>
  </conditionalFormatting>
  <conditionalFormatting sqref="F22:G22">
    <cfRule type="expression" dxfId="94" priority="185">
      <formula>$S22=2</formula>
    </cfRule>
  </conditionalFormatting>
  <conditionalFormatting sqref="F23:G23">
    <cfRule type="expression" dxfId="93" priority="179">
      <formula>$S23=1</formula>
    </cfRule>
  </conditionalFormatting>
  <conditionalFormatting sqref="F24:G24">
    <cfRule type="expression" dxfId="92" priority="176">
      <formula>$S24=2</formula>
    </cfRule>
  </conditionalFormatting>
  <conditionalFormatting sqref="F25:G25">
    <cfRule type="expression" dxfId="91" priority="170">
      <formula>$S25=1</formula>
    </cfRule>
  </conditionalFormatting>
  <conditionalFormatting sqref="F26:G26">
    <cfRule type="expression" dxfId="90" priority="167">
      <formula>$S26=2</formula>
    </cfRule>
  </conditionalFormatting>
  <conditionalFormatting sqref="F27:G27">
    <cfRule type="expression" dxfId="89" priority="161">
      <formula>$S27=1</formula>
    </cfRule>
  </conditionalFormatting>
  <conditionalFormatting sqref="F28:G28">
    <cfRule type="expression" dxfId="88" priority="158">
      <formula>$S28=2</formula>
    </cfRule>
  </conditionalFormatting>
  <conditionalFormatting sqref="F29:G29">
    <cfRule type="expression" dxfId="87" priority="152">
      <formula>$S29=1</formula>
    </cfRule>
  </conditionalFormatting>
  <conditionalFormatting sqref="F30:G30">
    <cfRule type="expression" dxfId="86" priority="149">
      <formula>$S30=2</formula>
    </cfRule>
  </conditionalFormatting>
  <conditionalFormatting sqref="F31:G31">
    <cfRule type="expression" dxfId="85" priority="143">
      <formula>$S31=1</formula>
    </cfRule>
  </conditionalFormatting>
  <conditionalFormatting sqref="F32:G32">
    <cfRule type="expression" dxfId="84" priority="140">
      <formula>$S32=2</formula>
    </cfRule>
  </conditionalFormatting>
  <conditionalFormatting sqref="F33:G33">
    <cfRule type="expression" dxfId="83" priority="134">
      <formula>$S33=1</formula>
    </cfRule>
  </conditionalFormatting>
  <conditionalFormatting sqref="F34:G34">
    <cfRule type="expression" dxfId="82" priority="131">
      <formula>$S34=2</formula>
    </cfRule>
  </conditionalFormatting>
  <conditionalFormatting sqref="F35:G35">
    <cfRule type="expression" dxfId="81" priority="104">
      <formula>$S35=1</formula>
    </cfRule>
  </conditionalFormatting>
  <conditionalFormatting sqref="F36:G36">
    <cfRule type="expression" dxfId="80" priority="101">
      <formula>$S36=2</formula>
    </cfRule>
  </conditionalFormatting>
  <conditionalFormatting sqref="F37:G37">
    <cfRule type="expression" dxfId="79" priority="95">
      <formula>$S37=1</formula>
    </cfRule>
  </conditionalFormatting>
  <conditionalFormatting sqref="F38:G38">
    <cfRule type="expression" dxfId="78" priority="92">
      <formula>$S38=2</formula>
    </cfRule>
  </conditionalFormatting>
  <conditionalFormatting sqref="F39:G39">
    <cfRule type="expression" dxfId="77" priority="86">
      <formula>$S39=1</formula>
    </cfRule>
  </conditionalFormatting>
  <conditionalFormatting sqref="F40:G40">
    <cfRule type="expression" dxfId="76" priority="83">
      <formula>$S40=2</formula>
    </cfRule>
  </conditionalFormatting>
  <conditionalFormatting sqref="F41:G41">
    <cfRule type="expression" dxfId="75" priority="78">
      <formula>$S41=1</formula>
    </cfRule>
  </conditionalFormatting>
  <conditionalFormatting sqref="F42:G42">
    <cfRule type="expression" dxfId="74" priority="75">
      <formula>$S42=2</formula>
    </cfRule>
  </conditionalFormatting>
  <conditionalFormatting sqref="F43:G43">
    <cfRule type="expression" dxfId="73" priority="70">
      <formula>$S43=1</formula>
    </cfRule>
  </conditionalFormatting>
  <conditionalFormatting sqref="F44:G44">
    <cfRule type="expression" dxfId="72" priority="67">
      <formula>$S44=2</formula>
    </cfRule>
  </conditionalFormatting>
  <conditionalFormatting sqref="F45:G45">
    <cfRule type="expression" dxfId="71" priority="62">
      <formula>$S45=1</formula>
    </cfRule>
  </conditionalFormatting>
  <conditionalFormatting sqref="F46:G46">
    <cfRule type="expression" dxfId="70" priority="59">
      <formula>$S46=2</formula>
    </cfRule>
  </conditionalFormatting>
  <conditionalFormatting sqref="F47:G47">
    <cfRule type="expression" dxfId="69" priority="54">
      <formula>$S47=1</formula>
    </cfRule>
  </conditionalFormatting>
  <conditionalFormatting sqref="F48:G48">
    <cfRule type="expression" dxfId="68" priority="51">
      <formula>$S48=2</formula>
    </cfRule>
  </conditionalFormatting>
  <conditionalFormatting sqref="F49:G49">
    <cfRule type="expression" dxfId="67" priority="46">
      <formula>$S49=1</formula>
    </cfRule>
  </conditionalFormatting>
  <conditionalFormatting sqref="F50:G50">
    <cfRule type="expression" dxfId="66" priority="43">
      <formula>$S50=2</formula>
    </cfRule>
  </conditionalFormatting>
  <conditionalFormatting sqref="F51:G51">
    <cfRule type="expression" dxfId="65" priority="38">
      <formula>$S51=1</formula>
    </cfRule>
  </conditionalFormatting>
  <conditionalFormatting sqref="F52:G52">
    <cfRule type="expression" dxfId="64" priority="35">
      <formula>$S52=2</formula>
    </cfRule>
  </conditionalFormatting>
  <conditionalFormatting sqref="F53:G53">
    <cfRule type="expression" dxfId="63" priority="30">
      <formula>$S53=1</formula>
    </cfRule>
  </conditionalFormatting>
  <conditionalFormatting sqref="F54:G54">
    <cfRule type="expression" dxfId="62" priority="27">
      <formula>$S54=2</formula>
    </cfRule>
  </conditionalFormatting>
  <conditionalFormatting sqref="H15:K54">
    <cfRule type="expression" dxfId="61" priority="2">
      <formula>$S15=4</formula>
    </cfRule>
  </conditionalFormatting>
  <conditionalFormatting sqref="J15:M54">
    <cfRule type="expression" dxfId="60" priority="3">
      <formula>$S15=2</formula>
    </cfRule>
  </conditionalFormatting>
  <conditionalFormatting sqref="K16:L16">
    <cfRule type="expression" dxfId="59" priority="208">
      <formula>$S16=5</formula>
    </cfRule>
  </conditionalFormatting>
  <conditionalFormatting sqref="K18:L18">
    <cfRule type="expression" dxfId="58" priority="199">
      <formula>$S18=5</formula>
    </cfRule>
  </conditionalFormatting>
  <conditionalFormatting sqref="K20:L20">
    <cfRule type="expression" dxfId="57" priority="123">
      <formula>$S20=5</formula>
    </cfRule>
  </conditionalFormatting>
  <conditionalFormatting sqref="K22:L22">
    <cfRule type="expression" dxfId="56" priority="120">
      <formula>$S22=5</formula>
    </cfRule>
  </conditionalFormatting>
  <conditionalFormatting sqref="K24:L24">
    <cfRule type="expression" dxfId="55" priority="117">
      <formula>$S24=5</formula>
    </cfRule>
  </conditionalFormatting>
  <conditionalFormatting sqref="K26:L26">
    <cfRule type="expression" dxfId="54" priority="114">
      <formula>$S26=5</formula>
    </cfRule>
  </conditionalFormatting>
  <conditionalFormatting sqref="K28:L28">
    <cfRule type="expression" dxfId="53" priority="111">
      <formula>$S28=5</formula>
    </cfRule>
  </conditionalFormatting>
  <conditionalFormatting sqref="K30:L30">
    <cfRule type="expression" dxfId="52" priority="108">
      <formula>$S30=5</formula>
    </cfRule>
  </conditionalFormatting>
  <conditionalFormatting sqref="K32:L32">
    <cfRule type="expression" dxfId="51" priority="105">
      <formula>$S32=5</formula>
    </cfRule>
  </conditionalFormatting>
  <conditionalFormatting sqref="K34:L34">
    <cfRule type="expression" dxfId="50" priority="127">
      <formula>$S34=5</formula>
    </cfRule>
  </conditionalFormatting>
  <conditionalFormatting sqref="K36:L36">
    <cfRule type="expression" dxfId="49" priority="97">
      <formula>$S36=5</formula>
    </cfRule>
  </conditionalFormatting>
  <conditionalFormatting sqref="K38:L38">
    <cfRule type="expression" dxfId="48" priority="88">
      <formula>$S38=5</formula>
    </cfRule>
  </conditionalFormatting>
  <conditionalFormatting sqref="K40:L40">
    <cfRule type="expression" dxfId="47" priority="19">
      <formula>$S40=5</formula>
    </cfRule>
  </conditionalFormatting>
  <conditionalFormatting sqref="K42:L42">
    <cfRule type="expression" dxfId="46" priority="16">
      <formula>$S42=5</formula>
    </cfRule>
  </conditionalFormatting>
  <conditionalFormatting sqref="K44:L44">
    <cfRule type="expression" dxfId="45" priority="13">
      <formula>$S44=5</formula>
    </cfRule>
  </conditionalFormatting>
  <conditionalFormatting sqref="K46:L46">
    <cfRule type="expression" dxfId="44" priority="10">
      <formula>$S46=5</formula>
    </cfRule>
  </conditionalFormatting>
  <conditionalFormatting sqref="K48:L48">
    <cfRule type="expression" dxfId="43" priority="7">
      <formula>$S48=5</formula>
    </cfRule>
  </conditionalFormatting>
  <conditionalFormatting sqref="K50:L50">
    <cfRule type="expression" dxfId="42" priority="4">
      <formula>$S50=5</formula>
    </cfRule>
  </conditionalFormatting>
  <conditionalFormatting sqref="K52:L52">
    <cfRule type="expression" dxfId="41" priority="1">
      <formula>$S52=5</formula>
    </cfRule>
  </conditionalFormatting>
  <conditionalFormatting sqref="K54:L54">
    <cfRule type="expression" dxfId="40" priority="23">
      <formula>$S54=5</formula>
    </cfRule>
  </conditionalFormatting>
  <conditionalFormatting sqref="L15">
    <cfRule type="expression" dxfId="39" priority="207">
      <formula>$S15=6</formula>
    </cfRule>
    <cfRule type="expression" dxfId="38" priority="209">
      <formula>S15=5</formula>
    </cfRule>
  </conditionalFormatting>
  <conditionalFormatting sqref="L17">
    <cfRule type="expression" dxfId="37" priority="200">
      <formula>S17=5</formula>
    </cfRule>
    <cfRule type="expression" dxfId="36" priority="198">
      <formula>$S17=6</formula>
    </cfRule>
  </conditionalFormatting>
  <conditionalFormatting sqref="L19">
    <cfRule type="expression" dxfId="35" priority="191">
      <formula>S19=5</formula>
    </cfRule>
    <cfRule type="expression" dxfId="34" priority="189">
      <formula>$S19=6</formula>
    </cfRule>
  </conditionalFormatting>
  <conditionalFormatting sqref="L21">
    <cfRule type="expression" dxfId="33" priority="182">
      <formula>S21=5</formula>
    </cfRule>
    <cfRule type="expression" dxfId="32" priority="180">
      <formula>$S21=6</formula>
    </cfRule>
  </conditionalFormatting>
  <conditionalFormatting sqref="L23">
    <cfRule type="expression" dxfId="31" priority="173">
      <formula>S23=5</formula>
    </cfRule>
    <cfRule type="expression" dxfId="30" priority="171">
      <formula>$S23=6</formula>
    </cfRule>
  </conditionalFormatting>
  <conditionalFormatting sqref="L25">
    <cfRule type="expression" dxfId="29" priority="164">
      <formula>S25=5</formula>
    </cfRule>
    <cfRule type="expression" dxfId="28" priority="162">
      <formula>$S25=6</formula>
    </cfRule>
  </conditionalFormatting>
  <conditionalFormatting sqref="L27">
    <cfRule type="expression" dxfId="27" priority="155">
      <formula>S27=5</formula>
    </cfRule>
    <cfRule type="expression" dxfId="26" priority="153">
      <formula>$S27=6</formula>
    </cfRule>
  </conditionalFormatting>
  <conditionalFormatting sqref="L29">
    <cfRule type="expression" dxfId="25" priority="146">
      <formula>S29=5</formula>
    </cfRule>
    <cfRule type="expression" dxfId="24" priority="144">
      <formula>$S29=6</formula>
    </cfRule>
  </conditionalFormatting>
  <conditionalFormatting sqref="L31">
    <cfRule type="expression" dxfId="23" priority="135">
      <formula>$S31=6</formula>
    </cfRule>
    <cfRule type="expression" dxfId="22" priority="137">
      <formula>S31=5</formula>
    </cfRule>
  </conditionalFormatting>
  <conditionalFormatting sqref="L33">
    <cfRule type="expression" dxfId="21" priority="128">
      <formula>S33=5</formula>
    </cfRule>
    <cfRule type="expression" dxfId="20" priority="126">
      <formula>$S33=6</formula>
    </cfRule>
  </conditionalFormatting>
  <conditionalFormatting sqref="L35">
    <cfRule type="expression" dxfId="19" priority="98">
      <formula>S35=5</formula>
    </cfRule>
    <cfRule type="expression" dxfId="18" priority="96">
      <formula>$S35=6</formula>
    </cfRule>
  </conditionalFormatting>
  <conditionalFormatting sqref="L37">
    <cfRule type="expression" dxfId="17" priority="89">
      <formula>S37=5</formula>
    </cfRule>
    <cfRule type="expression" dxfId="16" priority="87">
      <formula>$S37=6</formula>
    </cfRule>
  </conditionalFormatting>
  <conditionalFormatting sqref="L39">
    <cfRule type="expression" dxfId="15" priority="81">
      <formula>S39=5</formula>
    </cfRule>
    <cfRule type="expression" dxfId="14" priority="79">
      <formula>$S39=6</formula>
    </cfRule>
  </conditionalFormatting>
  <conditionalFormatting sqref="L41">
    <cfRule type="expression" dxfId="13" priority="73">
      <formula>S41=5</formula>
    </cfRule>
    <cfRule type="expression" dxfId="12" priority="71">
      <formula>$S41=6</formula>
    </cfRule>
  </conditionalFormatting>
  <conditionalFormatting sqref="L43">
    <cfRule type="expression" dxfId="11" priority="65">
      <formula>S43=5</formula>
    </cfRule>
    <cfRule type="expression" dxfId="10" priority="63">
      <formula>$S43=6</formula>
    </cfRule>
  </conditionalFormatting>
  <conditionalFormatting sqref="L45">
    <cfRule type="expression" dxfId="9" priority="55">
      <formula>$S45=6</formula>
    </cfRule>
    <cfRule type="expression" dxfId="8" priority="57">
      <formula>S45=5</formula>
    </cfRule>
  </conditionalFormatting>
  <conditionalFormatting sqref="L47">
    <cfRule type="expression" dxfId="7" priority="49">
      <formula>S47=5</formula>
    </cfRule>
    <cfRule type="expression" dxfId="6" priority="47">
      <formula>$S47=6</formula>
    </cfRule>
  </conditionalFormatting>
  <conditionalFormatting sqref="L49">
    <cfRule type="expression" dxfId="5" priority="41">
      <formula>S49=5</formula>
    </cfRule>
    <cfRule type="expression" dxfId="4" priority="39">
      <formula>$S49=6</formula>
    </cfRule>
  </conditionalFormatting>
  <conditionalFormatting sqref="L51">
    <cfRule type="expression" dxfId="3" priority="31">
      <formula>$S51=6</formula>
    </cfRule>
    <cfRule type="expression" dxfId="2" priority="33">
      <formula>S51=5</formula>
    </cfRule>
  </conditionalFormatting>
  <conditionalFormatting sqref="L53">
    <cfRule type="expression" dxfId="1" priority="24">
      <formula>S53=5</formula>
    </cfRule>
    <cfRule type="expression" dxfId="0" priority="22">
      <formula>$S53=6</formula>
    </cfRule>
  </conditionalFormatting>
  <dataValidations count="6">
    <dataValidation type="list" allowBlank="1" showInputMessage="1" showErrorMessage="1" sqref="E15:F54">
      <formula1>INDIRECT(T15)</formula1>
    </dataValidation>
    <dataValidation type="list" allowBlank="1" showInputMessage="1" showErrorMessage="1" sqref="J15:J54 G15:G54">
      <formula1>INDIRECT(X15)</formula1>
    </dataValidation>
    <dataValidation type="list" allowBlank="1" showInputMessage="1" showErrorMessage="1" sqref="K33 K37 K35 K39 K41 K43 K45 K47 K49 K51 K53 K17 K15 K19 K21 K23 K25 K27 K29 K31">
      <formula1>INDIRECT(AC15)</formula1>
    </dataValidation>
    <dataValidation type="list" allowBlank="1" showInputMessage="1" sqref="L15:L54">
      <formula1>INDIRECT(AE15)</formula1>
    </dataValidation>
    <dataValidation type="list" allowBlank="1" showInputMessage="1" showErrorMessage="1" sqref="M15:M54">
      <formula1>INDIRECT(AG15)</formula1>
    </dataValidation>
    <dataValidation type="list" allowBlank="1" showInputMessage="1" sqref="K16 K54 K50 K48 K46 K44 K42 K40 K52 K38 K36 K34 K30 K28 K26 K24 K22 K20 K32 K18">
      <formula1>INDIRECT(AC16)</formula1>
    </dataValidation>
  </dataValidations>
  <printOptions horizontalCentered="1"/>
  <pageMargins left="0.23622047244094491" right="0.23622047244094491" top="0.39370078740157483" bottom="0.39370078740157483" header="0.31496062992125984" footer="0.11811023622047245"/>
  <pageSetup paperSize="9" scale="65" fitToHeight="0" orientation="landscape" r:id="rId1"/>
  <headerFooter>
    <oddFooter>&amp;P / &amp;N ページ</oddFooter>
  </headerFooter>
  <rowBreaks count="1" manualBreakCount="1">
    <brk id="34" max="15"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リスト!$R$2:$R$9</xm:f>
          </x14:formula1>
          <xm:sqref>C15:C54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250"/>
  <sheetViews>
    <sheetView workbookViewId="0">
      <selection activeCell="I16" sqref="I16"/>
    </sheetView>
  </sheetViews>
  <sheetFormatPr defaultRowHeight="18.75" x14ac:dyDescent="0.4"/>
  <cols>
    <col min="1" max="1" width="6.375" style="322" customWidth="1"/>
    <col min="2" max="2" width="29.5" style="320" customWidth="1"/>
    <col min="3" max="3" width="28.375" style="320" customWidth="1"/>
    <col min="4" max="4" width="5.375" style="320" customWidth="1"/>
    <col min="5" max="5" width="6.25" style="320" bestFit="1" customWidth="1"/>
    <col min="6" max="6" width="5" style="320" bestFit="1" customWidth="1"/>
    <col min="7" max="7" width="13" style="320" bestFit="1" customWidth="1"/>
    <col min="8" max="8" width="15.375" style="320" bestFit="1" customWidth="1"/>
    <col min="9" max="16384" width="9" style="321"/>
  </cols>
  <sheetData>
    <row r="1" spans="1:9" x14ac:dyDescent="0.4">
      <c r="A1" s="322" t="s">
        <v>441</v>
      </c>
      <c r="B1" s="320" t="s">
        <v>442</v>
      </c>
      <c r="C1" s="320" t="s">
        <v>443</v>
      </c>
      <c r="D1" s="320" t="s">
        <v>444</v>
      </c>
      <c r="E1" s="320" t="s">
        <v>445</v>
      </c>
      <c r="F1" s="320" t="s">
        <v>446</v>
      </c>
      <c r="G1" s="320" t="s">
        <v>447</v>
      </c>
      <c r="H1" s="320" t="s">
        <v>448</v>
      </c>
    </row>
    <row r="2" spans="1:9" x14ac:dyDescent="0.4">
      <c r="A2" s="323" t="str">
        <f>TEXT(D2,"00#")</f>
        <v>352</v>
      </c>
      <c r="B2" s="320" t="s">
        <v>449</v>
      </c>
      <c r="C2" s="320" t="s">
        <v>450</v>
      </c>
      <c r="D2" s="320">
        <v>352</v>
      </c>
      <c r="E2" s="320" t="s">
        <v>451</v>
      </c>
      <c r="F2" s="320" t="s">
        <v>452</v>
      </c>
      <c r="G2" s="320" t="s">
        <v>453</v>
      </c>
      <c r="H2" s="320" t="s">
        <v>454</v>
      </c>
      <c r="I2" s="321" t="str">
        <f>TEXT(D2,"00#")</f>
        <v>352</v>
      </c>
    </row>
    <row r="3" spans="1:9" x14ac:dyDescent="0.4">
      <c r="A3" s="323" t="str">
        <f t="shared" ref="A3:A66" si="0">TEXT(D3,"00#")</f>
        <v>372</v>
      </c>
      <c r="B3" s="320" t="s">
        <v>455</v>
      </c>
      <c r="C3" s="320" t="s">
        <v>456</v>
      </c>
      <c r="D3" s="320">
        <v>372</v>
      </c>
      <c r="E3" s="320" t="s">
        <v>457</v>
      </c>
      <c r="F3" s="320" t="s">
        <v>458</v>
      </c>
      <c r="G3" s="320" t="s">
        <v>459</v>
      </c>
      <c r="H3" s="320" t="s">
        <v>460</v>
      </c>
      <c r="I3" s="321" t="str">
        <f t="shared" ref="I3:I7" si="1">TEXT(D3,"00#")</f>
        <v>372</v>
      </c>
    </row>
    <row r="4" spans="1:9" x14ac:dyDescent="0.4">
      <c r="A4" s="323" t="str">
        <f t="shared" si="0"/>
        <v>031</v>
      </c>
      <c r="B4" s="320" t="s">
        <v>461</v>
      </c>
      <c r="C4" s="320" t="s">
        <v>462</v>
      </c>
      <c r="D4" s="320">
        <v>31</v>
      </c>
      <c r="E4" s="320" t="s">
        <v>463</v>
      </c>
      <c r="F4" s="320" t="s">
        <v>464</v>
      </c>
      <c r="G4" s="320" t="s">
        <v>465</v>
      </c>
      <c r="H4" s="320" t="s">
        <v>466</v>
      </c>
      <c r="I4" s="321" t="str">
        <f t="shared" si="1"/>
        <v>031</v>
      </c>
    </row>
    <row r="5" spans="1:9" x14ac:dyDescent="0.4">
      <c r="A5" s="323" t="str">
        <f t="shared" si="0"/>
        <v>004</v>
      </c>
      <c r="B5" s="320" t="s">
        <v>467</v>
      </c>
      <c r="C5" s="320" t="s">
        <v>468</v>
      </c>
      <c r="D5" s="320">
        <v>4</v>
      </c>
      <c r="E5" s="320" t="s">
        <v>469</v>
      </c>
      <c r="F5" s="320" t="s">
        <v>470</v>
      </c>
      <c r="G5" s="320" t="s">
        <v>471</v>
      </c>
      <c r="H5" s="320" t="s">
        <v>472</v>
      </c>
      <c r="I5" s="321" t="str">
        <f t="shared" si="1"/>
        <v>004</v>
      </c>
    </row>
    <row r="6" spans="1:9" x14ac:dyDescent="0.4">
      <c r="A6" s="323" t="str">
        <f t="shared" si="0"/>
        <v>840</v>
      </c>
      <c r="B6" s="320" t="s">
        <v>473</v>
      </c>
      <c r="C6" s="320" t="s">
        <v>474</v>
      </c>
      <c r="D6" s="320">
        <v>840</v>
      </c>
      <c r="E6" s="320" t="s">
        <v>475</v>
      </c>
      <c r="F6" s="320" t="s">
        <v>476</v>
      </c>
      <c r="G6" s="320" t="s">
        <v>477</v>
      </c>
      <c r="H6" s="320" t="s">
        <v>478</v>
      </c>
      <c r="I6" s="321" t="str">
        <f t="shared" si="1"/>
        <v>840</v>
      </c>
    </row>
    <row r="7" spans="1:9" x14ac:dyDescent="0.4">
      <c r="A7" s="323" t="str">
        <f t="shared" si="0"/>
        <v>850</v>
      </c>
      <c r="B7" s="320" t="s">
        <v>479</v>
      </c>
      <c r="C7" s="320" t="s">
        <v>480</v>
      </c>
      <c r="D7" s="320">
        <v>850</v>
      </c>
      <c r="E7" s="320" t="s">
        <v>481</v>
      </c>
      <c r="F7" s="320" t="s">
        <v>482</v>
      </c>
      <c r="G7" s="320" t="s">
        <v>483</v>
      </c>
      <c r="H7" s="320" t="s">
        <v>484</v>
      </c>
      <c r="I7" s="321" t="str">
        <f t="shared" si="1"/>
        <v>850</v>
      </c>
    </row>
    <row r="8" spans="1:9" x14ac:dyDescent="0.4">
      <c r="A8" s="323" t="str">
        <f t="shared" si="0"/>
        <v>016</v>
      </c>
      <c r="B8" s="320" t="s">
        <v>485</v>
      </c>
      <c r="C8" s="320" t="s">
        <v>486</v>
      </c>
      <c r="D8" s="320">
        <v>16</v>
      </c>
      <c r="E8" s="320" t="s">
        <v>487</v>
      </c>
      <c r="F8" s="320" t="s">
        <v>488</v>
      </c>
      <c r="G8" s="320" t="s">
        <v>489</v>
      </c>
      <c r="H8" s="320" t="s">
        <v>490</v>
      </c>
    </row>
    <row r="9" spans="1:9" x14ac:dyDescent="0.4">
      <c r="A9" s="323" t="str">
        <f t="shared" si="0"/>
        <v>784</v>
      </c>
      <c r="B9" s="320" t="s">
        <v>491</v>
      </c>
      <c r="C9" s="320" t="s">
        <v>492</v>
      </c>
      <c r="D9" s="320">
        <v>784</v>
      </c>
      <c r="E9" s="320" t="s">
        <v>493</v>
      </c>
      <c r="F9" s="320" t="s">
        <v>494</v>
      </c>
      <c r="G9" s="320" t="s">
        <v>471</v>
      </c>
      <c r="H9" s="320" t="s">
        <v>495</v>
      </c>
    </row>
    <row r="10" spans="1:9" x14ac:dyDescent="0.4">
      <c r="A10" s="323" t="str">
        <f t="shared" si="0"/>
        <v>012</v>
      </c>
      <c r="B10" s="320" t="s">
        <v>496</v>
      </c>
      <c r="C10" s="320" t="s">
        <v>497</v>
      </c>
      <c r="D10" s="320">
        <v>12</v>
      </c>
      <c r="E10" s="320" t="s">
        <v>498</v>
      </c>
      <c r="F10" s="320" t="s">
        <v>499</v>
      </c>
      <c r="G10" s="320" t="s">
        <v>500</v>
      </c>
      <c r="H10" s="320" t="s">
        <v>501</v>
      </c>
    </row>
    <row r="11" spans="1:9" x14ac:dyDescent="0.4">
      <c r="A11" s="323" t="str">
        <f t="shared" si="0"/>
        <v>032</v>
      </c>
      <c r="B11" s="320" t="s">
        <v>502</v>
      </c>
      <c r="C11" s="320" t="s">
        <v>503</v>
      </c>
      <c r="D11" s="320">
        <v>32</v>
      </c>
      <c r="E11" s="320" t="s">
        <v>504</v>
      </c>
      <c r="F11" s="320" t="s">
        <v>505</v>
      </c>
      <c r="G11" s="320" t="s">
        <v>506</v>
      </c>
      <c r="H11" s="320" t="s">
        <v>507</v>
      </c>
    </row>
    <row r="12" spans="1:9" x14ac:dyDescent="0.4">
      <c r="A12" s="323" t="str">
        <f t="shared" si="0"/>
        <v>533</v>
      </c>
      <c r="B12" s="320" t="s">
        <v>508</v>
      </c>
      <c r="C12" s="320" t="s">
        <v>509</v>
      </c>
      <c r="D12" s="320">
        <v>533</v>
      </c>
      <c r="E12" s="320" t="s">
        <v>510</v>
      </c>
      <c r="F12" s="320" t="s">
        <v>511</v>
      </c>
      <c r="G12" s="320" t="s">
        <v>483</v>
      </c>
      <c r="H12" s="320" t="s">
        <v>512</v>
      </c>
    </row>
    <row r="13" spans="1:9" x14ac:dyDescent="0.4">
      <c r="A13" s="323" t="str">
        <f t="shared" si="0"/>
        <v>008</v>
      </c>
      <c r="B13" s="320" t="s">
        <v>513</v>
      </c>
      <c r="C13" s="320" t="s">
        <v>514</v>
      </c>
      <c r="D13" s="320">
        <v>8</v>
      </c>
      <c r="E13" s="320" t="s">
        <v>515</v>
      </c>
      <c r="F13" s="320" t="s">
        <v>516</v>
      </c>
      <c r="G13" s="320" t="s">
        <v>465</v>
      </c>
      <c r="H13" s="320" t="s">
        <v>517</v>
      </c>
    </row>
    <row r="14" spans="1:9" x14ac:dyDescent="0.4">
      <c r="A14" s="323" t="str">
        <f t="shared" si="0"/>
        <v>051</v>
      </c>
      <c r="B14" s="320" t="s">
        <v>518</v>
      </c>
      <c r="C14" s="320" t="s">
        <v>519</v>
      </c>
      <c r="D14" s="320">
        <v>51</v>
      </c>
      <c r="E14" s="320" t="s">
        <v>520</v>
      </c>
      <c r="F14" s="320" t="s">
        <v>521</v>
      </c>
      <c r="G14" s="320" t="s">
        <v>465</v>
      </c>
      <c r="H14" s="320" t="s">
        <v>522</v>
      </c>
    </row>
    <row r="15" spans="1:9" x14ac:dyDescent="0.4">
      <c r="A15" s="323" t="str">
        <f t="shared" si="0"/>
        <v>660</v>
      </c>
      <c r="B15" s="320" t="s">
        <v>523</v>
      </c>
      <c r="C15" s="320" t="s">
        <v>524</v>
      </c>
      <c r="D15" s="320">
        <v>660</v>
      </c>
      <c r="E15" s="320" t="s">
        <v>525</v>
      </c>
      <c r="F15" s="320" t="s">
        <v>526</v>
      </c>
      <c r="G15" s="320" t="s">
        <v>483</v>
      </c>
      <c r="H15" s="320" t="s">
        <v>527</v>
      </c>
    </row>
    <row r="16" spans="1:9" x14ac:dyDescent="0.4">
      <c r="A16" s="323" t="str">
        <f t="shared" si="0"/>
        <v>024</v>
      </c>
      <c r="B16" s="320" t="s">
        <v>528</v>
      </c>
      <c r="C16" s="320" t="s">
        <v>529</v>
      </c>
      <c r="D16" s="320">
        <v>24</v>
      </c>
      <c r="E16" s="320" t="s">
        <v>530</v>
      </c>
      <c r="F16" s="320" t="s">
        <v>531</v>
      </c>
      <c r="G16" s="320" t="s">
        <v>532</v>
      </c>
      <c r="H16" s="320" t="s">
        <v>533</v>
      </c>
    </row>
    <row r="17" spans="1:8" x14ac:dyDescent="0.4">
      <c r="A17" s="323" t="str">
        <f t="shared" si="0"/>
        <v>028</v>
      </c>
      <c r="B17" s="320" t="s">
        <v>534</v>
      </c>
      <c r="C17" s="320" t="s">
        <v>535</v>
      </c>
      <c r="D17" s="320">
        <v>28</v>
      </c>
      <c r="E17" s="320" t="s">
        <v>536</v>
      </c>
      <c r="F17" s="320" t="s">
        <v>537</v>
      </c>
      <c r="G17" s="320" t="s">
        <v>483</v>
      </c>
      <c r="H17" s="320" t="s">
        <v>538</v>
      </c>
    </row>
    <row r="18" spans="1:8" x14ac:dyDescent="0.4">
      <c r="A18" s="323" t="str">
        <f t="shared" si="0"/>
        <v>020</v>
      </c>
      <c r="B18" s="320" t="s">
        <v>539</v>
      </c>
      <c r="C18" s="320" t="s">
        <v>540</v>
      </c>
      <c r="D18" s="320">
        <v>20</v>
      </c>
      <c r="E18" s="320" t="s">
        <v>541</v>
      </c>
      <c r="F18" s="320" t="s">
        <v>542</v>
      </c>
      <c r="G18" s="320" t="s">
        <v>459</v>
      </c>
      <c r="H18" s="320" t="s">
        <v>543</v>
      </c>
    </row>
    <row r="19" spans="1:8" x14ac:dyDescent="0.4">
      <c r="A19" s="323" t="str">
        <f t="shared" si="0"/>
        <v>887</v>
      </c>
      <c r="B19" s="320" t="s">
        <v>544</v>
      </c>
      <c r="C19" s="320" t="s">
        <v>545</v>
      </c>
      <c r="D19" s="320">
        <v>887</v>
      </c>
      <c r="E19" s="320" t="s">
        <v>546</v>
      </c>
      <c r="F19" s="320" t="s">
        <v>547</v>
      </c>
      <c r="G19" s="320" t="s">
        <v>471</v>
      </c>
      <c r="H19" s="320" t="s">
        <v>548</v>
      </c>
    </row>
    <row r="20" spans="1:8" x14ac:dyDescent="0.4">
      <c r="A20" s="323" t="str">
        <f t="shared" si="0"/>
        <v>826</v>
      </c>
      <c r="B20" s="320" t="s">
        <v>549</v>
      </c>
      <c r="C20" s="320" t="s">
        <v>550</v>
      </c>
      <c r="D20" s="320">
        <v>826</v>
      </c>
      <c r="E20" s="320" t="s">
        <v>551</v>
      </c>
      <c r="F20" s="320" t="s">
        <v>552</v>
      </c>
      <c r="G20" s="320" t="s">
        <v>459</v>
      </c>
      <c r="H20" s="320" t="s">
        <v>553</v>
      </c>
    </row>
    <row r="21" spans="1:8" x14ac:dyDescent="0.4">
      <c r="A21" s="323" t="str">
        <f t="shared" si="0"/>
        <v>086</v>
      </c>
      <c r="B21" s="320" t="s">
        <v>554</v>
      </c>
      <c r="C21" s="320" t="s">
        <v>555</v>
      </c>
      <c r="D21" s="320">
        <v>86</v>
      </c>
      <c r="E21" s="320" t="s">
        <v>556</v>
      </c>
      <c r="F21" s="320" t="s">
        <v>557</v>
      </c>
      <c r="G21" s="320" t="s">
        <v>558</v>
      </c>
      <c r="H21" s="320" t="s">
        <v>559</v>
      </c>
    </row>
    <row r="22" spans="1:8" x14ac:dyDescent="0.4">
      <c r="A22" s="323" t="str">
        <f t="shared" si="0"/>
        <v>092</v>
      </c>
      <c r="B22" s="320" t="s">
        <v>560</v>
      </c>
      <c r="C22" s="320" t="s">
        <v>561</v>
      </c>
      <c r="D22" s="320">
        <v>92</v>
      </c>
      <c r="E22" s="320" t="s">
        <v>562</v>
      </c>
      <c r="F22" s="320" t="s">
        <v>563</v>
      </c>
      <c r="G22" s="320" t="s">
        <v>483</v>
      </c>
      <c r="H22" s="320" t="s">
        <v>564</v>
      </c>
    </row>
    <row r="23" spans="1:8" x14ac:dyDescent="0.4">
      <c r="A23" s="323" t="str">
        <f t="shared" si="0"/>
        <v>376</v>
      </c>
      <c r="B23" s="320" t="s">
        <v>565</v>
      </c>
      <c r="C23" s="320" t="s">
        <v>566</v>
      </c>
      <c r="D23" s="320">
        <v>376</v>
      </c>
      <c r="E23" s="320" t="s">
        <v>567</v>
      </c>
      <c r="F23" s="320" t="s">
        <v>568</v>
      </c>
      <c r="G23" s="320" t="s">
        <v>471</v>
      </c>
      <c r="H23" s="320" t="s">
        <v>569</v>
      </c>
    </row>
    <row r="24" spans="1:8" x14ac:dyDescent="0.4">
      <c r="A24" s="323" t="str">
        <f t="shared" si="0"/>
        <v>380</v>
      </c>
      <c r="B24" s="320" t="s">
        <v>570</v>
      </c>
      <c r="C24" s="320" t="s">
        <v>571</v>
      </c>
      <c r="D24" s="320">
        <v>380</v>
      </c>
      <c r="E24" s="320" t="s">
        <v>572</v>
      </c>
      <c r="F24" s="320" t="s">
        <v>573</v>
      </c>
      <c r="G24" s="320" t="s">
        <v>459</v>
      </c>
      <c r="H24" s="320" t="s">
        <v>574</v>
      </c>
    </row>
    <row r="25" spans="1:8" x14ac:dyDescent="0.4">
      <c r="A25" s="323" t="str">
        <f t="shared" si="0"/>
        <v>368</v>
      </c>
      <c r="B25" s="320" t="s">
        <v>575</v>
      </c>
      <c r="C25" s="320" t="s">
        <v>576</v>
      </c>
      <c r="D25" s="320">
        <v>368</v>
      </c>
      <c r="E25" s="320" t="s">
        <v>577</v>
      </c>
      <c r="F25" s="320" t="s">
        <v>578</v>
      </c>
      <c r="G25" s="320" t="s">
        <v>471</v>
      </c>
      <c r="H25" s="320" t="s">
        <v>579</v>
      </c>
    </row>
    <row r="26" spans="1:8" x14ac:dyDescent="0.4">
      <c r="A26" s="323" t="str">
        <f t="shared" si="0"/>
        <v>364</v>
      </c>
      <c r="B26" s="320" t="s">
        <v>580</v>
      </c>
      <c r="C26" s="320" t="s">
        <v>581</v>
      </c>
      <c r="D26" s="320">
        <v>364</v>
      </c>
      <c r="E26" s="320" t="s">
        <v>582</v>
      </c>
      <c r="F26" s="320" t="s">
        <v>583</v>
      </c>
      <c r="G26" s="320" t="s">
        <v>471</v>
      </c>
      <c r="H26" s="320" t="s">
        <v>584</v>
      </c>
    </row>
    <row r="27" spans="1:8" x14ac:dyDescent="0.4">
      <c r="A27" s="323" t="str">
        <f t="shared" si="0"/>
        <v>356</v>
      </c>
      <c r="B27" s="320" t="s">
        <v>585</v>
      </c>
      <c r="C27" s="320" t="s">
        <v>586</v>
      </c>
      <c r="D27" s="320">
        <v>356</v>
      </c>
      <c r="E27" s="320" t="s">
        <v>587</v>
      </c>
      <c r="F27" s="320" t="s">
        <v>588</v>
      </c>
      <c r="G27" s="320" t="s">
        <v>589</v>
      </c>
      <c r="H27" s="320" t="s">
        <v>590</v>
      </c>
    </row>
    <row r="28" spans="1:8" x14ac:dyDescent="0.4">
      <c r="A28" s="323" t="str">
        <f t="shared" si="0"/>
        <v>360</v>
      </c>
      <c r="B28" s="320" t="s">
        <v>591</v>
      </c>
      <c r="C28" s="320" t="s">
        <v>592</v>
      </c>
      <c r="D28" s="320">
        <v>360</v>
      </c>
      <c r="E28" s="320" t="s">
        <v>593</v>
      </c>
      <c r="F28" s="320" t="s">
        <v>594</v>
      </c>
      <c r="G28" s="320" t="s">
        <v>595</v>
      </c>
      <c r="H28" s="320" t="s">
        <v>596</v>
      </c>
    </row>
    <row r="29" spans="1:8" x14ac:dyDescent="0.4">
      <c r="A29" s="323" t="str">
        <f t="shared" si="0"/>
        <v>876</v>
      </c>
      <c r="B29" s="320" t="s">
        <v>597</v>
      </c>
      <c r="C29" s="320" t="s">
        <v>598</v>
      </c>
      <c r="D29" s="320">
        <v>876</v>
      </c>
      <c r="E29" s="320" t="s">
        <v>599</v>
      </c>
      <c r="F29" s="320" t="s">
        <v>600</v>
      </c>
      <c r="G29" s="320" t="s">
        <v>489</v>
      </c>
      <c r="H29" s="320" t="s">
        <v>601</v>
      </c>
    </row>
    <row r="30" spans="1:8" x14ac:dyDescent="0.4">
      <c r="A30" s="323" t="str">
        <f t="shared" si="0"/>
        <v>800</v>
      </c>
      <c r="B30" s="320" t="s">
        <v>602</v>
      </c>
      <c r="C30" s="320" t="s">
        <v>603</v>
      </c>
      <c r="D30" s="320">
        <v>800</v>
      </c>
      <c r="E30" s="320" t="s">
        <v>604</v>
      </c>
      <c r="F30" s="320" t="s">
        <v>605</v>
      </c>
      <c r="G30" s="320" t="s">
        <v>606</v>
      </c>
      <c r="H30" s="320" t="s">
        <v>607</v>
      </c>
    </row>
    <row r="31" spans="1:8" x14ac:dyDescent="0.4">
      <c r="A31" s="323" t="str">
        <f t="shared" si="0"/>
        <v>804</v>
      </c>
      <c r="B31" s="320" t="s">
        <v>608</v>
      </c>
      <c r="C31" s="320" t="s">
        <v>609</v>
      </c>
      <c r="D31" s="320">
        <v>804</v>
      </c>
      <c r="E31" s="320" t="s">
        <v>610</v>
      </c>
      <c r="F31" s="320" t="s">
        <v>611</v>
      </c>
      <c r="G31" s="320" t="s">
        <v>465</v>
      </c>
      <c r="H31" s="320" t="s">
        <v>612</v>
      </c>
    </row>
    <row r="32" spans="1:8" x14ac:dyDescent="0.4">
      <c r="A32" s="323" t="str">
        <f t="shared" si="0"/>
        <v>860</v>
      </c>
      <c r="B32" s="320" t="s">
        <v>613</v>
      </c>
      <c r="C32" s="320" t="s">
        <v>614</v>
      </c>
      <c r="D32" s="320">
        <v>860</v>
      </c>
      <c r="E32" s="320" t="s">
        <v>615</v>
      </c>
      <c r="F32" s="320" t="s">
        <v>616</v>
      </c>
      <c r="G32" s="320" t="s">
        <v>617</v>
      </c>
      <c r="H32" s="320" t="s">
        <v>618</v>
      </c>
    </row>
    <row r="33" spans="1:8" x14ac:dyDescent="0.4">
      <c r="A33" s="323" t="str">
        <f t="shared" si="0"/>
        <v>858</v>
      </c>
      <c r="B33" s="320" t="s">
        <v>619</v>
      </c>
      <c r="C33" s="320" t="s">
        <v>620</v>
      </c>
      <c r="D33" s="320">
        <v>858</v>
      </c>
      <c r="E33" s="320" t="s">
        <v>621</v>
      </c>
      <c r="F33" s="320" t="s">
        <v>622</v>
      </c>
      <c r="G33" s="320" t="s">
        <v>506</v>
      </c>
      <c r="H33" s="320" t="s">
        <v>623</v>
      </c>
    </row>
    <row r="34" spans="1:8" x14ac:dyDescent="0.4">
      <c r="A34" s="323" t="str">
        <f t="shared" si="0"/>
        <v>218</v>
      </c>
      <c r="B34" s="320" t="s">
        <v>624</v>
      </c>
      <c r="C34" s="320" t="s">
        <v>625</v>
      </c>
      <c r="D34" s="320">
        <v>218</v>
      </c>
      <c r="E34" s="320" t="s">
        <v>626</v>
      </c>
      <c r="F34" s="320" t="s">
        <v>627</v>
      </c>
      <c r="G34" s="320" t="s">
        <v>506</v>
      </c>
      <c r="H34" s="320" t="s">
        <v>628</v>
      </c>
    </row>
    <row r="35" spans="1:8" x14ac:dyDescent="0.4">
      <c r="A35" s="323" t="str">
        <f t="shared" si="0"/>
        <v>818</v>
      </c>
      <c r="B35" s="320" t="s">
        <v>629</v>
      </c>
      <c r="C35" s="320" t="s">
        <v>630</v>
      </c>
      <c r="D35" s="320">
        <v>818</v>
      </c>
      <c r="E35" s="320" t="s">
        <v>631</v>
      </c>
      <c r="F35" s="320" t="s">
        <v>632</v>
      </c>
      <c r="G35" s="320" t="s">
        <v>500</v>
      </c>
      <c r="H35" s="320" t="s">
        <v>633</v>
      </c>
    </row>
    <row r="36" spans="1:8" x14ac:dyDescent="0.4">
      <c r="A36" s="323" t="str">
        <f t="shared" si="0"/>
        <v>233</v>
      </c>
      <c r="B36" s="320" t="s">
        <v>634</v>
      </c>
      <c r="C36" s="320" t="s">
        <v>635</v>
      </c>
      <c r="D36" s="320">
        <v>233</v>
      </c>
      <c r="E36" s="320" t="s">
        <v>636</v>
      </c>
      <c r="F36" s="320" t="s">
        <v>637</v>
      </c>
      <c r="G36" s="320" t="s">
        <v>465</v>
      </c>
      <c r="H36" s="320" t="s">
        <v>638</v>
      </c>
    </row>
    <row r="37" spans="1:8" x14ac:dyDescent="0.4">
      <c r="A37" s="323" t="str">
        <f t="shared" si="0"/>
        <v>748</v>
      </c>
      <c r="B37" s="320" t="s">
        <v>639</v>
      </c>
      <c r="C37" s="320" t="s">
        <v>640</v>
      </c>
      <c r="D37" s="320">
        <v>748</v>
      </c>
      <c r="E37" s="320" t="s">
        <v>641</v>
      </c>
      <c r="F37" s="320" t="s">
        <v>642</v>
      </c>
      <c r="G37" s="320" t="s">
        <v>532</v>
      </c>
      <c r="H37" s="320" t="s">
        <v>643</v>
      </c>
    </row>
    <row r="38" spans="1:8" x14ac:dyDescent="0.4">
      <c r="A38" s="323" t="str">
        <f t="shared" si="0"/>
        <v>231</v>
      </c>
      <c r="B38" s="320" t="s">
        <v>644</v>
      </c>
      <c r="C38" s="320" t="s">
        <v>645</v>
      </c>
      <c r="D38" s="320">
        <v>231</v>
      </c>
      <c r="E38" s="320" t="s">
        <v>646</v>
      </c>
      <c r="F38" s="320" t="s">
        <v>647</v>
      </c>
      <c r="G38" s="320" t="s">
        <v>648</v>
      </c>
      <c r="H38" s="320" t="s">
        <v>649</v>
      </c>
    </row>
    <row r="39" spans="1:8" x14ac:dyDescent="0.4">
      <c r="A39" s="323" t="str">
        <f t="shared" si="0"/>
        <v>232</v>
      </c>
      <c r="B39" s="320" t="s">
        <v>650</v>
      </c>
      <c r="C39" s="320" t="s">
        <v>651</v>
      </c>
      <c r="D39" s="320">
        <v>232</v>
      </c>
      <c r="E39" s="320" t="s">
        <v>652</v>
      </c>
      <c r="F39" s="320" t="s">
        <v>653</v>
      </c>
      <c r="G39" s="320" t="s">
        <v>648</v>
      </c>
      <c r="H39" s="320" t="s">
        <v>654</v>
      </c>
    </row>
    <row r="40" spans="1:8" x14ac:dyDescent="0.4">
      <c r="A40" s="323" t="str">
        <f t="shared" si="0"/>
        <v>222</v>
      </c>
      <c r="B40" s="320" t="s">
        <v>655</v>
      </c>
      <c r="C40" s="320" t="s">
        <v>656</v>
      </c>
      <c r="D40" s="320">
        <v>222</v>
      </c>
      <c r="E40" s="320" t="s">
        <v>657</v>
      </c>
      <c r="F40" s="320" t="s">
        <v>658</v>
      </c>
      <c r="G40" s="320" t="s">
        <v>483</v>
      </c>
      <c r="H40" s="320" t="s">
        <v>659</v>
      </c>
    </row>
    <row r="41" spans="1:8" x14ac:dyDescent="0.4">
      <c r="A41" s="323" t="str">
        <f t="shared" si="0"/>
        <v>036</v>
      </c>
      <c r="B41" s="320" t="s">
        <v>660</v>
      </c>
      <c r="C41" s="320" t="s">
        <v>661</v>
      </c>
      <c r="D41" s="320">
        <v>36</v>
      </c>
      <c r="E41" s="320" t="s">
        <v>662</v>
      </c>
      <c r="F41" s="320" t="s">
        <v>663</v>
      </c>
      <c r="G41" s="320" t="s">
        <v>489</v>
      </c>
      <c r="H41" s="320" t="s">
        <v>664</v>
      </c>
    </row>
    <row r="42" spans="1:8" x14ac:dyDescent="0.4">
      <c r="A42" s="323" t="str">
        <f t="shared" si="0"/>
        <v>040</v>
      </c>
      <c r="B42" s="320" t="s">
        <v>665</v>
      </c>
      <c r="C42" s="320" t="s">
        <v>666</v>
      </c>
      <c r="D42" s="320">
        <v>40</v>
      </c>
      <c r="E42" s="320" t="s">
        <v>667</v>
      </c>
      <c r="F42" s="320" t="s">
        <v>668</v>
      </c>
      <c r="G42" s="320" t="s">
        <v>465</v>
      </c>
      <c r="H42" s="320" t="s">
        <v>669</v>
      </c>
    </row>
    <row r="43" spans="1:8" x14ac:dyDescent="0.4">
      <c r="A43" s="323" t="str">
        <f t="shared" si="0"/>
        <v>248</v>
      </c>
      <c r="B43" s="320" t="s">
        <v>670</v>
      </c>
      <c r="C43" s="320" t="s">
        <v>671</v>
      </c>
      <c r="D43" s="320">
        <v>248</v>
      </c>
      <c r="E43" s="320" t="s">
        <v>672</v>
      </c>
      <c r="F43" s="320" t="s">
        <v>673</v>
      </c>
      <c r="G43" s="320" t="s">
        <v>453</v>
      </c>
      <c r="H43" s="320" t="s">
        <v>674</v>
      </c>
    </row>
    <row r="44" spans="1:8" x14ac:dyDescent="0.4">
      <c r="A44" s="323" t="str">
        <f t="shared" si="0"/>
        <v>512</v>
      </c>
      <c r="B44" s="320" t="s">
        <v>675</v>
      </c>
      <c r="C44" s="320" t="s">
        <v>676</v>
      </c>
      <c r="D44" s="320">
        <v>512</v>
      </c>
      <c r="E44" s="320" t="s">
        <v>677</v>
      </c>
      <c r="F44" s="320" t="s">
        <v>678</v>
      </c>
      <c r="G44" s="320" t="s">
        <v>471</v>
      </c>
      <c r="H44" s="320" t="s">
        <v>679</v>
      </c>
    </row>
    <row r="45" spans="1:8" x14ac:dyDescent="0.4">
      <c r="A45" s="323" t="str">
        <f t="shared" si="0"/>
        <v>528</v>
      </c>
      <c r="B45" s="320" t="s">
        <v>680</v>
      </c>
      <c r="C45" s="320" t="s">
        <v>681</v>
      </c>
      <c r="D45" s="320">
        <v>528</v>
      </c>
      <c r="E45" s="320" t="s">
        <v>682</v>
      </c>
      <c r="F45" s="320" t="s">
        <v>683</v>
      </c>
      <c r="G45" s="320" t="s">
        <v>459</v>
      </c>
      <c r="H45" s="320" t="s">
        <v>684</v>
      </c>
    </row>
    <row r="46" spans="1:8" x14ac:dyDescent="0.4">
      <c r="A46" s="323" t="str">
        <f t="shared" si="0"/>
        <v>288</v>
      </c>
      <c r="B46" s="320" t="s">
        <v>685</v>
      </c>
      <c r="C46" s="320" t="s">
        <v>686</v>
      </c>
      <c r="D46" s="320">
        <v>288</v>
      </c>
      <c r="E46" s="320" t="s">
        <v>687</v>
      </c>
      <c r="F46" s="320" t="s">
        <v>688</v>
      </c>
      <c r="G46" s="320" t="s">
        <v>689</v>
      </c>
      <c r="H46" s="320" t="s">
        <v>690</v>
      </c>
    </row>
    <row r="47" spans="1:8" x14ac:dyDescent="0.4">
      <c r="A47" s="323" t="str">
        <f t="shared" si="0"/>
        <v>132</v>
      </c>
      <c r="B47" s="320" t="s">
        <v>691</v>
      </c>
      <c r="C47" s="320" t="s">
        <v>692</v>
      </c>
      <c r="D47" s="320">
        <v>132</v>
      </c>
      <c r="E47" s="320" t="s">
        <v>693</v>
      </c>
      <c r="F47" s="320" t="s">
        <v>694</v>
      </c>
      <c r="G47" s="320" t="s">
        <v>689</v>
      </c>
      <c r="H47" s="320" t="s">
        <v>695</v>
      </c>
    </row>
    <row r="48" spans="1:8" x14ac:dyDescent="0.4">
      <c r="A48" s="323" t="str">
        <f t="shared" si="0"/>
        <v>831</v>
      </c>
      <c r="B48" s="320" t="s">
        <v>696</v>
      </c>
      <c r="C48" s="320" t="s">
        <v>697</v>
      </c>
      <c r="D48" s="320">
        <v>831</v>
      </c>
      <c r="E48" s="320" t="s">
        <v>698</v>
      </c>
      <c r="F48" s="320" t="s">
        <v>699</v>
      </c>
      <c r="G48" s="320" t="s">
        <v>459</v>
      </c>
      <c r="H48" s="320" t="s">
        <v>700</v>
      </c>
    </row>
    <row r="49" spans="1:8" x14ac:dyDescent="0.4">
      <c r="A49" s="323" t="str">
        <f t="shared" si="0"/>
        <v>328</v>
      </c>
      <c r="B49" s="320" t="s">
        <v>701</v>
      </c>
      <c r="C49" s="320" t="s">
        <v>702</v>
      </c>
      <c r="D49" s="320">
        <v>328</v>
      </c>
      <c r="E49" s="320" t="s">
        <v>703</v>
      </c>
      <c r="F49" s="320" t="s">
        <v>704</v>
      </c>
      <c r="G49" s="320" t="s">
        <v>506</v>
      </c>
      <c r="H49" s="320" t="s">
        <v>705</v>
      </c>
    </row>
    <row r="50" spans="1:8" x14ac:dyDescent="0.4">
      <c r="A50" s="323" t="str">
        <f t="shared" si="0"/>
        <v>398</v>
      </c>
      <c r="B50" s="320" t="s">
        <v>706</v>
      </c>
      <c r="C50" s="320" t="s">
        <v>707</v>
      </c>
      <c r="D50" s="320">
        <v>398</v>
      </c>
      <c r="E50" s="320" t="s">
        <v>708</v>
      </c>
      <c r="F50" s="320" t="s">
        <v>709</v>
      </c>
      <c r="G50" s="320" t="s">
        <v>617</v>
      </c>
      <c r="H50" s="320" t="s">
        <v>710</v>
      </c>
    </row>
    <row r="51" spans="1:8" x14ac:dyDescent="0.4">
      <c r="A51" s="323" t="str">
        <f t="shared" si="0"/>
        <v>634</v>
      </c>
      <c r="B51" s="320" t="s">
        <v>711</v>
      </c>
      <c r="C51" s="320" t="s">
        <v>712</v>
      </c>
      <c r="D51" s="320">
        <v>634</v>
      </c>
      <c r="E51" s="320" t="s">
        <v>713</v>
      </c>
      <c r="F51" s="320" t="s">
        <v>714</v>
      </c>
      <c r="G51" s="320" t="s">
        <v>471</v>
      </c>
      <c r="H51" s="320" t="s">
        <v>715</v>
      </c>
    </row>
    <row r="52" spans="1:8" x14ac:dyDescent="0.4">
      <c r="A52" s="323" t="str">
        <f t="shared" si="0"/>
        <v>581</v>
      </c>
      <c r="B52" s="320" t="s">
        <v>716</v>
      </c>
      <c r="C52" s="320" t="s">
        <v>717</v>
      </c>
      <c r="D52" s="320">
        <v>581</v>
      </c>
      <c r="E52" s="320" t="s">
        <v>718</v>
      </c>
      <c r="F52" s="320" t="s">
        <v>719</v>
      </c>
      <c r="G52" s="320" t="s">
        <v>489</v>
      </c>
      <c r="H52" s="320" t="s">
        <v>720</v>
      </c>
    </row>
    <row r="53" spans="1:8" x14ac:dyDescent="0.4">
      <c r="A53" s="323" t="str">
        <f t="shared" si="0"/>
        <v>124</v>
      </c>
      <c r="B53" s="320" t="s">
        <v>721</v>
      </c>
      <c r="C53" s="320" t="s">
        <v>722</v>
      </c>
      <c r="D53" s="320">
        <v>124</v>
      </c>
      <c r="E53" s="320" t="s">
        <v>723</v>
      </c>
      <c r="F53" s="320" t="s">
        <v>724</v>
      </c>
      <c r="G53" s="320" t="s">
        <v>477</v>
      </c>
      <c r="H53" s="320" t="s">
        <v>725</v>
      </c>
    </row>
    <row r="54" spans="1:8" x14ac:dyDescent="0.4">
      <c r="A54" s="323" t="str">
        <f t="shared" si="0"/>
        <v>266</v>
      </c>
      <c r="B54" s="320" t="s">
        <v>726</v>
      </c>
      <c r="C54" s="320" t="s">
        <v>727</v>
      </c>
      <c r="D54" s="320">
        <v>266</v>
      </c>
      <c r="E54" s="320" t="s">
        <v>728</v>
      </c>
      <c r="F54" s="320" t="s">
        <v>729</v>
      </c>
      <c r="G54" s="320" t="s">
        <v>606</v>
      </c>
      <c r="H54" s="320" t="s">
        <v>730</v>
      </c>
    </row>
    <row r="55" spans="1:8" x14ac:dyDescent="0.4">
      <c r="A55" s="323" t="str">
        <f t="shared" si="0"/>
        <v>120</v>
      </c>
      <c r="B55" s="320" t="s">
        <v>731</v>
      </c>
      <c r="C55" s="320" t="s">
        <v>732</v>
      </c>
      <c r="D55" s="320">
        <v>120</v>
      </c>
      <c r="E55" s="320" t="s">
        <v>733</v>
      </c>
      <c r="F55" s="320" t="s">
        <v>734</v>
      </c>
      <c r="G55" s="320" t="s">
        <v>606</v>
      </c>
      <c r="H55" s="320" t="s">
        <v>735</v>
      </c>
    </row>
    <row r="56" spans="1:8" x14ac:dyDescent="0.4">
      <c r="A56" s="323" t="str">
        <f t="shared" si="0"/>
        <v>270</v>
      </c>
      <c r="B56" s="320" t="s">
        <v>736</v>
      </c>
      <c r="C56" s="320" t="s">
        <v>737</v>
      </c>
      <c r="D56" s="320">
        <v>270</v>
      </c>
      <c r="E56" s="320" t="s">
        <v>738</v>
      </c>
      <c r="F56" s="320" t="s">
        <v>739</v>
      </c>
      <c r="G56" s="320" t="s">
        <v>689</v>
      </c>
      <c r="H56" s="320" t="s">
        <v>740</v>
      </c>
    </row>
    <row r="57" spans="1:8" x14ac:dyDescent="0.4">
      <c r="A57" s="323" t="str">
        <f t="shared" si="0"/>
        <v>116</v>
      </c>
      <c r="B57" s="320" t="s">
        <v>741</v>
      </c>
      <c r="C57" s="320" t="s">
        <v>742</v>
      </c>
      <c r="D57" s="320">
        <v>116</v>
      </c>
      <c r="E57" s="320" t="s">
        <v>743</v>
      </c>
      <c r="F57" s="320" t="s">
        <v>744</v>
      </c>
      <c r="G57" s="320" t="s">
        <v>595</v>
      </c>
      <c r="H57" s="320" t="s">
        <v>745</v>
      </c>
    </row>
    <row r="58" spans="1:8" x14ac:dyDescent="0.4">
      <c r="A58" s="323" t="str">
        <f t="shared" si="0"/>
        <v>807</v>
      </c>
      <c r="B58" s="320" t="s">
        <v>746</v>
      </c>
      <c r="C58" s="320" t="s">
        <v>747</v>
      </c>
      <c r="D58" s="320">
        <v>807</v>
      </c>
      <c r="E58" s="320" t="s">
        <v>748</v>
      </c>
      <c r="F58" s="320" t="s">
        <v>749</v>
      </c>
      <c r="G58" s="320" t="s">
        <v>465</v>
      </c>
      <c r="H58" s="320" t="s">
        <v>750</v>
      </c>
    </row>
    <row r="59" spans="1:8" x14ac:dyDescent="0.4">
      <c r="A59" s="323" t="str">
        <f t="shared" si="0"/>
        <v>580</v>
      </c>
      <c r="B59" s="320" t="s">
        <v>751</v>
      </c>
      <c r="C59" s="320" t="s">
        <v>752</v>
      </c>
      <c r="D59" s="320">
        <v>580</v>
      </c>
      <c r="E59" s="320" t="s">
        <v>753</v>
      </c>
      <c r="F59" s="320" t="s">
        <v>754</v>
      </c>
      <c r="G59" s="320" t="s">
        <v>489</v>
      </c>
      <c r="H59" s="320" t="s">
        <v>755</v>
      </c>
    </row>
    <row r="60" spans="1:8" x14ac:dyDescent="0.4">
      <c r="A60" s="323" t="str">
        <f t="shared" si="0"/>
        <v>324</v>
      </c>
      <c r="B60" s="320" t="s">
        <v>756</v>
      </c>
      <c r="C60" s="320" t="s">
        <v>757</v>
      </c>
      <c r="D60" s="320">
        <v>324</v>
      </c>
      <c r="E60" s="320" t="s">
        <v>758</v>
      </c>
      <c r="F60" s="320" t="s">
        <v>759</v>
      </c>
      <c r="G60" s="320" t="s">
        <v>689</v>
      </c>
      <c r="H60" s="320" t="s">
        <v>760</v>
      </c>
    </row>
    <row r="61" spans="1:8" x14ac:dyDescent="0.4">
      <c r="A61" s="323" t="str">
        <f t="shared" si="0"/>
        <v>624</v>
      </c>
      <c r="B61" s="320" t="s">
        <v>761</v>
      </c>
      <c r="C61" s="320" t="s">
        <v>762</v>
      </c>
      <c r="D61" s="320">
        <v>624</v>
      </c>
      <c r="E61" s="320" t="s">
        <v>763</v>
      </c>
      <c r="F61" s="320" t="s">
        <v>764</v>
      </c>
      <c r="G61" s="320" t="s">
        <v>689</v>
      </c>
      <c r="H61" s="320" t="s">
        <v>765</v>
      </c>
    </row>
    <row r="62" spans="1:8" x14ac:dyDescent="0.4">
      <c r="A62" s="323" t="str">
        <f t="shared" si="0"/>
        <v>196</v>
      </c>
      <c r="B62" s="320" t="s">
        <v>766</v>
      </c>
      <c r="C62" s="320" t="s">
        <v>767</v>
      </c>
      <c r="D62" s="320">
        <v>196</v>
      </c>
      <c r="E62" s="320" t="s">
        <v>768</v>
      </c>
      <c r="F62" s="320" t="s">
        <v>769</v>
      </c>
      <c r="G62" s="320" t="s">
        <v>770</v>
      </c>
      <c r="H62" s="320" t="s">
        <v>771</v>
      </c>
    </row>
    <row r="63" spans="1:8" x14ac:dyDescent="0.4">
      <c r="A63" s="323" t="str">
        <f t="shared" si="0"/>
        <v>192</v>
      </c>
      <c r="B63" s="320" t="s">
        <v>772</v>
      </c>
      <c r="C63" s="320" t="s">
        <v>773</v>
      </c>
      <c r="D63" s="320">
        <v>192</v>
      </c>
      <c r="E63" s="320" t="s">
        <v>774</v>
      </c>
      <c r="F63" s="320" t="s">
        <v>775</v>
      </c>
      <c r="G63" s="320" t="s">
        <v>483</v>
      </c>
      <c r="H63" s="320" t="s">
        <v>776</v>
      </c>
    </row>
    <row r="64" spans="1:8" x14ac:dyDescent="0.4">
      <c r="A64" s="323" t="str">
        <f t="shared" si="0"/>
        <v>531</v>
      </c>
      <c r="B64" s="320" t="s">
        <v>777</v>
      </c>
      <c r="C64" s="320" t="s">
        <v>778</v>
      </c>
      <c r="D64" s="320">
        <v>531</v>
      </c>
      <c r="E64" s="320" t="s">
        <v>779</v>
      </c>
      <c r="F64" s="320" t="s">
        <v>780</v>
      </c>
      <c r="G64" s="320" t="s">
        <v>483</v>
      </c>
      <c r="H64" s="320" t="s">
        <v>781</v>
      </c>
    </row>
    <row r="65" spans="1:8" x14ac:dyDescent="0.4">
      <c r="A65" s="323" t="str">
        <f t="shared" si="0"/>
        <v>300</v>
      </c>
      <c r="B65" s="320" t="s">
        <v>782</v>
      </c>
      <c r="C65" s="320" t="s">
        <v>783</v>
      </c>
      <c r="D65" s="320">
        <v>300</v>
      </c>
      <c r="E65" s="320" t="s">
        <v>784</v>
      </c>
      <c r="F65" s="320" t="s">
        <v>785</v>
      </c>
      <c r="G65" s="320" t="s">
        <v>459</v>
      </c>
      <c r="H65" s="320" t="s">
        <v>786</v>
      </c>
    </row>
    <row r="66" spans="1:8" x14ac:dyDescent="0.4">
      <c r="A66" s="323" t="str">
        <f t="shared" si="0"/>
        <v>296</v>
      </c>
      <c r="B66" s="320" t="s">
        <v>787</v>
      </c>
      <c r="C66" s="320" t="s">
        <v>788</v>
      </c>
      <c r="D66" s="320">
        <v>296</v>
      </c>
      <c r="E66" s="320" t="s">
        <v>789</v>
      </c>
      <c r="F66" s="320" t="s">
        <v>790</v>
      </c>
      <c r="G66" s="320" t="s">
        <v>489</v>
      </c>
      <c r="H66" s="320" t="s">
        <v>791</v>
      </c>
    </row>
    <row r="67" spans="1:8" x14ac:dyDescent="0.4">
      <c r="A67" s="323" t="str">
        <f t="shared" ref="A67:A130" si="2">TEXT(D67,"00#")</f>
        <v>417</v>
      </c>
      <c r="B67" s="320" t="s">
        <v>792</v>
      </c>
      <c r="C67" s="320" t="s">
        <v>793</v>
      </c>
      <c r="D67" s="320">
        <v>417</v>
      </c>
      <c r="E67" s="320" t="s">
        <v>794</v>
      </c>
      <c r="F67" s="320" t="s">
        <v>795</v>
      </c>
      <c r="G67" s="320" t="s">
        <v>617</v>
      </c>
      <c r="H67" s="320" t="s">
        <v>796</v>
      </c>
    </row>
    <row r="68" spans="1:8" x14ac:dyDescent="0.4">
      <c r="A68" s="323" t="str">
        <f t="shared" si="2"/>
        <v>320</v>
      </c>
      <c r="B68" s="320" t="s">
        <v>797</v>
      </c>
      <c r="C68" s="320" t="s">
        <v>798</v>
      </c>
      <c r="D68" s="320">
        <v>320</v>
      </c>
      <c r="E68" s="320" t="s">
        <v>799</v>
      </c>
      <c r="F68" s="320" t="s">
        <v>800</v>
      </c>
      <c r="G68" s="320" t="s">
        <v>483</v>
      </c>
      <c r="H68" s="320" t="s">
        <v>801</v>
      </c>
    </row>
    <row r="69" spans="1:8" x14ac:dyDescent="0.4">
      <c r="A69" s="323" t="str">
        <f t="shared" si="2"/>
        <v>312</v>
      </c>
      <c r="B69" s="320" t="s">
        <v>802</v>
      </c>
      <c r="C69" s="320" t="s">
        <v>803</v>
      </c>
      <c r="D69" s="320">
        <v>312</v>
      </c>
      <c r="E69" s="320" t="s">
        <v>804</v>
      </c>
      <c r="F69" s="320" t="s">
        <v>805</v>
      </c>
      <c r="G69" s="320" t="s">
        <v>483</v>
      </c>
      <c r="H69" s="320" t="s">
        <v>806</v>
      </c>
    </row>
    <row r="70" spans="1:8" x14ac:dyDescent="0.4">
      <c r="A70" s="323" t="str">
        <f t="shared" si="2"/>
        <v>316</v>
      </c>
      <c r="B70" s="320" t="s">
        <v>807</v>
      </c>
      <c r="C70" s="320" t="s">
        <v>808</v>
      </c>
      <c r="D70" s="320">
        <v>316</v>
      </c>
      <c r="E70" s="320" t="s">
        <v>809</v>
      </c>
      <c r="F70" s="320" t="s">
        <v>810</v>
      </c>
      <c r="G70" s="320" t="s">
        <v>489</v>
      </c>
      <c r="H70" s="320" t="s">
        <v>811</v>
      </c>
    </row>
    <row r="71" spans="1:8" x14ac:dyDescent="0.4">
      <c r="A71" s="323" t="str">
        <f t="shared" si="2"/>
        <v>414</v>
      </c>
      <c r="B71" s="320" t="s">
        <v>812</v>
      </c>
      <c r="C71" s="320" t="s">
        <v>813</v>
      </c>
      <c r="D71" s="320">
        <v>414</v>
      </c>
      <c r="E71" s="320" t="s">
        <v>814</v>
      </c>
      <c r="F71" s="320" t="s">
        <v>815</v>
      </c>
      <c r="G71" s="320" t="s">
        <v>471</v>
      </c>
      <c r="H71" s="320" t="s">
        <v>816</v>
      </c>
    </row>
    <row r="72" spans="1:8" x14ac:dyDescent="0.4">
      <c r="A72" s="323" t="str">
        <f t="shared" si="2"/>
        <v>184</v>
      </c>
      <c r="B72" s="320" t="s">
        <v>817</v>
      </c>
      <c r="C72" s="320" t="s">
        <v>818</v>
      </c>
      <c r="D72" s="320">
        <v>184</v>
      </c>
      <c r="E72" s="320" t="s">
        <v>819</v>
      </c>
      <c r="F72" s="320" t="s">
        <v>820</v>
      </c>
      <c r="G72" s="320" t="s">
        <v>489</v>
      </c>
      <c r="H72" s="320" t="s">
        <v>821</v>
      </c>
    </row>
    <row r="73" spans="1:8" x14ac:dyDescent="0.4">
      <c r="A73" s="323" t="str">
        <f t="shared" si="2"/>
        <v>304</v>
      </c>
      <c r="B73" s="320" t="s">
        <v>822</v>
      </c>
      <c r="C73" s="320" t="s">
        <v>823</v>
      </c>
      <c r="D73" s="320">
        <v>304</v>
      </c>
      <c r="E73" s="320" t="s">
        <v>824</v>
      </c>
      <c r="F73" s="320" t="s">
        <v>825</v>
      </c>
      <c r="G73" s="320" t="s">
        <v>453</v>
      </c>
      <c r="H73" s="320" t="s">
        <v>826</v>
      </c>
    </row>
    <row r="74" spans="1:8" x14ac:dyDescent="0.4">
      <c r="A74" s="323" t="str">
        <f t="shared" si="2"/>
        <v>162</v>
      </c>
      <c r="B74" s="320" t="s">
        <v>827</v>
      </c>
      <c r="C74" s="320" t="s">
        <v>828</v>
      </c>
      <c r="D74" s="320">
        <v>162</v>
      </c>
      <c r="E74" s="320" t="s">
        <v>829</v>
      </c>
      <c r="F74" s="320" t="s">
        <v>830</v>
      </c>
      <c r="G74" s="320" t="s">
        <v>489</v>
      </c>
      <c r="H74" s="320" t="s">
        <v>831</v>
      </c>
    </row>
    <row r="75" spans="1:8" x14ac:dyDescent="0.4">
      <c r="A75" s="323" t="str">
        <f t="shared" si="2"/>
        <v>308</v>
      </c>
      <c r="B75" s="320" t="s">
        <v>832</v>
      </c>
      <c r="C75" s="320" t="s">
        <v>833</v>
      </c>
      <c r="D75" s="320">
        <v>308</v>
      </c>
      <c r="E75" s="320" t="s">
        <v>834</v>
      </c>
      <c r="F75" s="320" t="s">
        <v>835</v>
      </c>
      <c r="G75" s="320" t="s">
        <v>483</v>
      </c>
      <c r="H75" s="320" t="s">
        <v>836</v>
      </c>
    </row>
    <row r="76" spans="1:8" x14ac:dyDescent="0.4">
      <c r="A76" s="323" t="str">
        <f t="shared" si="2"/>
        <v>191</v>
      </c>
      <c r="B76" s="320" t="s">
        <v>837</v>
      </c>
      <c r="C76" s="320" t="s">
        <v>838</v>
      </c>
      <c r="D76" s="320">
        <v>191</v>
      </c>
      <c r="E76" s="320" t="s">
        <v>839</v>
      </c>
      <c r="F76" s="320" t="s">
        <v>840</v>
      </c>
      <c r="G76" s="320" t="s">
        <v>465</v>
      </c>
      <c r="H76" s="320" t="s">
        <v>841</v>
      </c>
    </row>
    <row r="77" spans="1:8" x14ac:dyDescent="0.4">
      <c r="A77" s="323" t="str">
        <f t="shared" si="2"/>
        <v>136</v>
      </c>
      <c r="B77" s="320" t="s">
        <v>842</v>
      </c>
      <c r="C77" s="320" t="s">
        <v>843</v>
      </c>
      <c r="D77" s="320">
        <v>136</v>
      </c>
      <c r="E77" s="320" t="s">
        <v>844</v>
      </c>
      <c r="F77" s="320" t="s">
        <v>845</v>
      </c>
      <c r="G77" s="320" t="s">
        <v>483</v>
      </c>
      <c r="H77" s="320" t="s">
        <v>846</v>
      </c>
    </row>
    <row r="78" spans="1:8" x14ac:dyDescent="0.4">
      <c r="A78" s="323" t="str">
        <f t="shared" si="2"/>
        <v>404</v>
      </c>
      <c r="B78" s="320" t="s">
        <v>847</v>
      </c>
      <c r="C78" s="320" t="s">
        <v>848</v>
      </c>
      <c r="D78" s="320">
        <v>404</v>
      </c>
      <c r="E78" s="320" t="s">
        <v>849</v>
      </c>
      <c r="F78" s="320" t="s">
        <v>850</v>
      </c>
      <c r="G78" s="320" t="s">
        <v>648</v>
      </c>
      <c r="H78" s="320" t="s">
        <v>851</v>
      </c>
    </row>
    <row r="79" spans="1:8" x14ac:dyDescent="0.4">
      <c r="A79" s="323" t="str">
        <f t="shared" si="2"/>
        <v>384</v>
      </c>
      <c r="B79" s="320" t="s">
        <v>852</v>
      </c>
      <c r="C79" s="320" t="s">
        <v>853</v>
      </c>
      <c r="D79" s="320">
        <v>384</v>
      </c>
      <c r="E79" s="320" t="s">
        <v>854</v>
      </c>
      <c r="F79" s="320" t="s">
        <v>855</v>
      </c>
      <c r="G79" s="320" t="s">
        <v>689</v>
      </c>
      <c r="H79" s="320" t="s">
        <v>856</v>
      </c>
    </row>
    <row r="80" spans="1:8" x14ac:dyDescent="0.4">
      <c r="A80" s="323" t="str">
        <f t="shared" si="2"/>
        <v>166</v>
      </c>
      <c r="B80" s="320" t="s">
        <v>857</v>
      </c>
      <c r="C80" s="320" t="s">
        <v>858</v>
      </c>
      <c r="D80" s="320">
        <v>166</v>
      </c>
      <c r="E80" s="320" t="s">
        <v>859</v>
      </c>
      <c r="F80" s="320" t="s">
        <v>860</v>
      </c>
      <c r="G80" s="320" t="s">
        <v>558</v>
      </c>
      <c r="H80" s="320" t="s">
        <v>861</v>
      </c>
    </row>
    <row r="81" spans="1:8" x14ac:dyDescent="0.4">
      <c r="A81" s="323" t="str">
        <f t="shared" si="2"/>
        <v>188</v>
      </c>
      <c r="B81" s="320" t="s">
        <v>862</v>
      </c>
      <c r="C81" s="320" t="s">
        <v>863</v>
      </c>
      <c r="D81" s="320">
        <v>188</v>
      </c>
      <c r="E81" s="320" t="s">
        <v>864</v>
      </c>
      <c r="F81" s="320" t="s">
        <v>865</v>
      </c>
      <c r="G81" s="320" t="s">
        <v>483</v>
      </c>
      <c r="H81" s="320" t="s">
        <v>866</v>
      </c>
    </row>
    <row r="82" spans="1:8" x14ac:dyDescent="0.4">
      <c r="A82" s="323" t="str">
        <f t="shared" si="2"/>
        <v>174</v>
      </c>
      <c r="B82" s="320" t="s">
        <v>867</v>
      </c>
      <c r="C82" s="320" t="s">
        <v>868</v>
      </c>
      <c r="D82" s="320">
        <v>174</v>
      </c>
      <c r="E82" s="320" t="s">
        <v>869</v>
      </c>
      <c r="F82" s="320" t="s">
        <v>870</v>
      </c>
      <c r="G82" s="320" t="s">
        <v>558</v>
      </c>
      <c r="H82" s="320" t="s">
        <v>871</v>
      </c>
    </row>
    <row r="83" spans="1:8" x14ac:dyDescent="0.4">
      <c r="A83" s="323" t="str">
        <f t="shared" si="2"/>
        <v>170</v>
      </c>
      <c r="B83" s="320" t="s">
        <v>872</v>
      </c>
      <c r="C83" s="320" t="s">
        <v>873</v>
      </c>
      <c r="D83" s="320">
        <v>170</v>
      </c>
      <c r="E83" s="320" t="s">
        <v>874</v>
      </c>
      <c r="F83" s="320" t="s">
        <v>875</v>
      </c>
      <c r="G83" s="320" t="s">
        <v>506</v>
      </c>
      <c r="H83" s="320" t="s">
        <v>876</v>
      </c>
    </row>
    <row r="84" spans="1:8" x14ac:dyDescent="0.4">
      <c r="A84" s="323" t="str">
        <f t="shared" si="2"/>
        <v>178</v>
      </c>
      <c r="B84" s="320" t="s">
        <v>877</v>
      </c>
      <c r="C84" s="320" t="s">
        <v>878</v>
      </c>
      <c r="D84" s="320">
        <v>178</v>
      </c>
      <c r="E84" s="320" t="s">
        <v>879</v>
      </c>
      <c r="F84" s="320" t="s">
        <v>880</v>
      </c>
      <c r="G84" s="320" t="s">
        <v>606</v>
      </c>
      <c r="H84" s="320" t="s">
        <v>881</v>
      </c>
    </row>
    <row r="85" spans="1:8" x14ac:dyDescent="0.4">
      <c r="A85" s="323" t="str">
        <f t="shared" si="2"/>
        <v>180</v>
      </c>
      <c r="B85" s="320" t="s">
        <v>882</v>
      </c>
      <c r="C85" s="320" t="s">
        <v>883</v>
      </c>
      <c r="D85" s="320">
        <v>180</v>
      </c>
      <c r="E85" s="320" t="s">
        <v>884</v>
      </c>
      <c r="F85" s="320" t="s">
        <v>885</v>
      </c>
      <c r="G85" s="320" t="s">
        <v>606</v>
      </c>
      <c r="H85" s="320" t="s">
        <v>886</v>
      </c>
    </row>
    <row r="86" spans="1:8" x14ac:dyDescent="0.4">
      <c r="A86" s="323" t="str">
        <f t="shared" si="2"/>
        <v>682</v>
      </c>
      <c r="B86" s="320" t="s">
        <v>887</v>
      </c>
      <c r="C86" s="320" t="s">
        <v>888</v>
      </c>
      <c r="D86" s="320">
        <v>682</v>
      </c>
      <c r="E86" s="320" t="s">
        <v>889</v>
      </c>
      <c r="F86" s="320" t="s">
        <v>890</v>
      </c>
      <c r="G86" s="320" t="s">
        <v>471</v>
      </c>
      <c r="H86" s="320" t="s">
        <v>891</v>
      </c>
    </row>
    <row r="87" spans="1:8" x14ac:dyDescent="0.4">
      <c r="A87" s="323" t="str">
        <f t="shared" si="2"/>
        <v>239</v>
      </c>
      <c r="B87" s="320" t="s">
        <v>892</v>
      </c>
      <c r="C87" s="320" t="s">
        <v>893</v>
      </c>
      <c r="D87" s="320">
        <v>239</v>
      </c>
      <c r="E87" s="320" t="s">
        <v>894</v>
      </c>
      <c r="F87" s="320" t="s">
        <v>895</v>
      </c>
      <c r="G87" s="320" t="s">
        <v>506</v>
      </c>
      <c r="H87" s="320" t="s">
        <v>896</v>
      </c>
    </row>
    <row r="88" spans="1:8" x14ac:dyDescent="0.4">
      <c r="A88" s="323" t="str">
        <f t="shared" si="2"/>
        <v>882</v>
      </c>
      <c r="B88" s="320" t="s">
        <v>897</v>
      </c>
      <c r="C88" s="320" t="s">
        <v>898</v>
      </c>
      <c r="D88" s="320">
        <v>882</v>
      </c>
      <c r="E88" s="320" t="s">
        <v>899</v>
      </c>
      <c r="F88" s="320" t="s">
        <v>900</v>
      </c>
      <c r="G88" s="320" t="s">
        <v>489</v>
      </c>
      <c r="H88" s="320" t="s">
        <v>901</v>
      </c>
    </row>
    <row r="89" spans="1:8" x14ac:dyDescent="0.4">
      <c r="A89" s="323" t="str">
        <f t="shared" si="2"/>
        <v>678</v>
      </c>
      <c r="B89" s="320" t="s">
        <v>902</v>
      </c>
      <c r="C89" s="320" t="s">
        <v>903</v>
      </c>
      <c r="D89" s="320">
        <v>678</v>
      </c>
      <c r="E89" s="320" t="s">
        <v>904</v>
      </c>
      <c r="F89" s="320" t="s">
        <v>905</v>
      </c>
      <c r="G89" s="320" t="s">
        <v>606</v>
      </c>
      <c r="H89" s="320" t="s">
        <v>906</v>
      </c>
    </row>
    <row r="90" spans="1:8" x14ac:dyDescent="0.4">
      <c r="A90" s="323" t="str">
        <f t="shared" si="2"/>
        <v>652</v>
      </c>
      <c r="B90" s="320" t="s">
        <v>907</v>
      </c>
      <c r="C90" s="320" t="s">
        <v>908</v>
      </c>
      <c r="D90" s="320">
        <v>652</v>
      </c>
      <c r="E90" s="320" t="s">
        <v>909</v>
      </c>
      <c r="F90" s="320" t="s">
        <v>910</v>
      </c>
      <c r="G90" s="320" t="s">
        <v>483</v>
      </c>
      <c r="H90" s="320" t="s">
        <v>911</v>
      </c>
    </row>
    <row r="91" spans="1:8" x14ac:dyDescent="0.4">
      <c r="A91" s="323" t="str">
        <f t="shared" si="2"/>
        <v>894</v>
      </c>
      <c r="B91" s="320" t="s">
        <v>912</v>
      </c>
      <c r="C91" s="320" t="s">
        <v>913</v>
      </c>
      <c r="D91" s="320">
        <v>894</v>
      </c>
      <c r="E91" s="320" t="s">
        <v>914</v>
      </c>
      <c r="F91" s="320" t="s">
        <v>915</v>
      </c>
      <c r="G91" s="320" t="s">
        <v>532</v>
      </c>
      <c r="H91" s="320" t="s">
        <v>916</v>
      </c>
    </row>
    <row r="92" spans="1:8" x14ac:dyDescent="0.4">
      <c r="A92" s="323" t="str">
        <f t="shared" si="2"/>
        <v>666</v>
      </c>
      <c r="B92" s="320" t="s">
        <v>917</v>
      </c>
      <c r="C92" s="320" t="s">
        <v>918</v>
      </c>
      <c r="D92" s="320">
        <v>666</v>
      </c>
      <c r="E92" s="320" t="s">
        <v>919</v>
      </c>
      <c r="F92" s="320" t="s">
        <v>920</v>
      </c>
      <c r="G92" s="320" t="s">
        <v>477</v>
      </c>
      <c r="H92" s="320" t="s">
        <v>921</v>
      </c>
    </row>
    <row r="93" spans="1:8" x14ac:dyDescent="0.4">
      <c r="A93" s="323" t="str">
        <f t="shared" si="2"/>
        <v>674</v>
      </c>
      <c r="B93" s="320" t="s">
        <v>922</v>
      </c>
      <c r="C93" s="320" t="s">
        <v>923</v>
      </c>
      <c r="D93" s="320">
        <v>674</v>
      </c>
      <c r="E93" s="320" t="s">
        <v>924</v>
      </c>
      <c r="F93" s="320" t="s">
        <v>925</v>
      </c>
      <c r="G93" s="320" t="s">
        <v>459</v>
      </c>
      <c r="H93" s="320" t="s">
        <v>926</v>
      </c>
    </row>
    <row r="94" spans="1:8" x14ac:dyDescent="0.4">
      <c r="A94" s="323" t="str">
        <f t="shared" si="2"/>
        <v>663</v>
      </c>
      <c r="B94" s="320" t="s">
        <v>927</v>
      </c>
      <c r="C94" s="320" t="s">
        <v>928</v>
      </c>
      <c r="D94" s="320">
        <v>663</v>
      </c>
      <c r="E94" s="320" t="s">
        <v>929</v>
      </c>
      <c r="F94" s="320" t="s">
        <v>930</v>
      </c>
      <c r="G94" s="320" t="s">
        <v>483</v>
      </c>
      <c r="H94" s="320" t="s">
        <v>931</v>
      </c>
    </row>
    <row r="95" spans="1:8" x14ac:dyDescent="0.4">
      <c r="A95" s="323" t="str">
        <f t="shared" si="2"/>
        <v>694</v>
      </c>
      <c r="B95" s="320" t="s">
        <v>932</v>
      </c>
      <c r="C95" s="320" t="s">
        <v>933</v>
      </c>
      <c r="D95" s="320">
        <v>694</v>
      </c>
      <c r="E95" s="320" t="s">
        <v>934</v>
      </c>
      <c r="F95" s="320" t="s">
        <v>935</v>
      </c>
      <c r="G95" s="320" t="s">
        <v>689</v>
      </c>
      <c r="H95" s="320" t="s">
        <v>936</v>
      </c>
    </row>
    <row r="96" spans="1:8" x14ac:dyDescent="0.4">
      <c r="A96" s="323" t="str">
        <f t="shared" si="2"/>
        <v>262</v>
      </c>
      <c r="B96" s="320" t="s">
        <v>937</v>
      </c>
      <c r="C96" s="320" t="s">
        <v>938</v>
      </c>
      <c r="D96" s="320">
        <v>262</v>
      </c>
      <c r="E96" s="320" t="s">
        <v>939</v>
      </c>
      <c r="F96" s="320" t="s">
        <v>940</v>
      </c>
      <c r="G96" s="320" t="s">
        <v>648</v>
      </c>
      <c r="H96" s="320" t="s">
        <v>941</v>
      </c>
    </row>
    <row r="97" spans="1:8" x14ac:dyDescent="0.4">
      <c r="A97" s="323" t="str">
        <f t="shared" si="2"/>
        <v>292</v>
      </c>
      <c r="B97" s="320" t="s">
        <v>942</v>
      </c>
      <c r="C97" s="320" t="s">
        <v>943</v>
      </c>
      <c r="D97" s="320">
        <v>292</v>
      </c>
      <c r="E97" s="320" t="s">
        <v>944</v>
      </c>
      <c r="F97" s="320" t="s">
        <v>945</v>
      </c>
      <c r="G97" s="320" t="s">
        <v>459</v>
      </c>
      <c r="H97" s="320" t="s">
        <v>946</v>
      </c>
    </row>
    <row r="98" spans="1:8" x14ac:dyDescent="0.4">
      <c r="A98" s="323" t="str">
        <f t="shared" si="2"/>
        <v>832</v>
      </c>
      <c r="B98" s="320" t="s">
        <v>947</v>
      </c>
      <c r="C98" s="320" t="s">
        <v>948</v>
      </c>
      <c r="D98" s="320">
        <v>832</v>
      </c>
      <c r="E98" s="320" t="s">
        <v>949</v>
      </c>
      <c r="F98" s="320" t="s">
        <v>950</v>
      </c>
      <c r="G98" s="320" t="s">
        <v>459</v>
      </c>
      <c r="H98" s="320" t="s">
        <v>951</v>
      </c>
    </row>
    <row r="99" spans="1:8" x14ac:dyDescent="0.4">
      <c r="A99" s="323" t="str">
        <f t="shared" si="2"/>
        <v>388</v>
      </c>
      <c r="B99" s="320" t="s">
        <v>952</v>
      </c>
      <c r="C99" s="320" t="s">
        <v>953</v>
      </c>
      <c r="D99" s="320">
        <v>388</v>
      </c>
      <c r="E99" s="320" t="s">
        <v>954</v>
      </c>
      <c r="F99" s="320" t="s">
        <v>955</v>
      </c>
      <c r="G99" s="320" t="s">
        <v>483</v>
      </c>
      <c r="H99" s="320" t="s">
        <v>956</v>
      </c>
    </row>
    <row r="100" spans="1:8" x14ac:dyDescent="0.4">
      <c r="A100" s="323" t="str">
        <f t="shared" si="2"/>
        <v>268</v>
      </c>
      <c r="B100" s="320" t="s">
        <v>957</v>
      </c>
      <c r="C100" s="320" t="s">
        <v>958</v>
      </c>
      <c r="D100" s="320">
        <v>268</v>
      </c>
      <c r="E100" s="320" t="s">
        <v>959</v>
      </c>
      <c r="F100" s="320" t="s">
        <v>960</v>
      </c>
      <c r="G100" s="320" t="s">
        <v>465</v>
      </c>
      <c r="H100" s="320" t="s">
        <v>961</v>
      </c>
    </row>
    <row r="101" spans="1:8" x14ac:dyDescent="0.4">
      <c r="A101" s="323" t="str">
        <f t="shared" si="2"/>
        <v>760</v>
      </c>
      <c r="B101" s="320" t="s">
        <v>962</v>
      </c>
      <c r="C101" s="320" t="s">
        <v>963</v>
      </c>
      <c r="D101" s="320">
        <v>760</v>
      </c>
      <c r="E101" s="320" t="s">
        <v>964</v>
      </c>
      <c r="F101" s="320" t="s">
        <v>965</v>
      </c>
      <c r="G101" s="320" t="s">
        <v>471</v>
      </c>
      <c r="H101" s="320" t="s">
        <v>966</v>
      </c>
    </row>
    <row r="102" spans="1:8" x14ac:dyDescent="0.4">
      <c r="A102" s="323" t="str">
        <f t="shared" si="2"/>
        <v>702</v>
      </c>
      <c r="B102" s="320" t="s">
        <v>967</v>
      </c>
      <c r="C102" s="320" t="s">
        <v>968</v>
      </c>
      <c r="D102" s="320">
        <v>702</v>
      </c>
      <c r="E102" s="320" t="s">
        <v>969</v>
      </c>
      <c r="F102" s="320" t="s">
        <v>970</v>
      </c>
      <c r="G102" s="320" t="s">
        <v>595</v>
      </c>
      <c r="H102" s="320" t="s">
        <v>971</v>
      </c>
    </row>
    <row r="103" spans="1:8" x14ac:dyDescent="0.4">
      <c r="A103" s="323" t="str">
        <f t="shared" si="2"/>
        <v>534</v>
      </c>
      <c r="B103" s="320" t="s">
        <v>972</v>
      </c>
      <c r="C103" s="320" t="s">
        <v>973</v>
      </c>
      <c r="D103" s="320">
        <v>534</v>
      </c>
      <c r="E103" s="320" t="s">
        <v>974</v>
      </c>
      <c r="F103" s="320" t="s">
        <v>975</v>
      </c>
      <c r="G103" s="320" t="s">
        <v>483</v>
      </c>
      <c r="H103" s="320" t="s">
        <v>976</v>
      </c>
    </row>
    <row r="104" spans="1:8" x14ac:dyDescent="0.4">
      <c r="A104" s="323" t="str">
        <f t="shared" si="2"/>
        <v>716</v>
      </c>
      <c r="B104" s="320" t="s">
        <v>977</v>
      </c>
      <c r="C104" s="320" t="s">
        <v>978</v>
      </c>
      <c r="D104" s="320">
        <v>716</v>
      </c>
      <c r="E104" s="320" t="s">
        <v>979</v>
      </c>
      <c r="F104" s="320" t="s">
        <v>980</v>
      </c>
      <c r="G104" s="320" t="s">
        <v>532</v>
      </c>
      <c r="H104" s="320" t="s">
        <v>981</v>
      </c>
    </row>
    <row r="105" spans="1:8" x14ac:dyDescent="0.4">
      <c r="A105" s="323" t="str">
        <f t="shared" si="2"/>
        <v>756</v>
      </c>
      <c r="B105" s="320" t="s">
        <v>982</v>
      </c>
      <c r="C105" s="320" t="s">
        <v>983</v>
      </c>
      <c r="D105" s="320">
        <v>756</v>
      </c>
      <c r="E105" s="320" t="s">
        <v>984</v>
      </c>
      <c r="F105" s="320" t="s">
        <v>985</v>
      </c>
      <c r="G105" s="320" t="s">
        <v>459</v>
      </c>
      <c r="H105" s="320" t="s">
        <v>986</v>
      </c>
    </row>
    <row r="106" spans="1:8" x14ac:dyDescent="0.4">
      <c r="A106" s="323" t="str">
        <f t="shared" si="2"/>
        <v>752</v>
      </c>
      <c r="B106" s="320" t="s">
        <v>987</v>
      </c>
      <c r="C106" s="320" t="s">
        <v>988</v>
      </c>
      <c r="D106" s="320">
        <v>752</v>
      </c>
      <c r="E106" s="320" t="s">
        <v>989</v>
      </c>
      <c r="F106" s="320" t="s">
        <v>990</v>
      </c>
      <c r="G106" s="320" t="s">
        <v>453</v>
      </c>
      <c r="H106" s="320" t="s">
        <v>991</v>
      </c>
    </row>
    <row r="107" spans="1:8" x14ac:dyDescent="0.4">
      <c r="A107" s="323" t="str">
        <f t="shared" si="2"/>
        <v>729</v>
      </c>
      <c r="B107" s="320" t="s">
        <v>992</v>
      </c>
      <c r="C107" s="320" t="s">
        <v>993</v>
      </c>
      <c r="D107" s="320">
        <v>729</v>
      </c>
      <c r="E107" s="320" t="s">
        <v>994</v>
      </c>
      <c r="F107" s="320" t="s">
        <v>995</v>
      </c>
      <c r="G107" s="320" t="s">
        <v>648</v>
      </c>
      <c r="H107" s="320" t="s">
        <v>996</v>
      </c>
    </row>
    <row r="108" spans="1:8" x14ac:dyDescent="0.4">
      <c r="A108" s="323" t="str">
        <f t="shared" si="2"/>
        <v>744</v>
      </c>
      <c r="B108" s="320" t="s">
        <v>997</v>
      </c>
      <c r="C108" s="320" t="s">
        <v>998</v>
      </c>
      <c r="D108" s="320">
        <v>744</v>
      </c>
      <c r="E108" s="320" t="s">
        <v>999</v>
      </c>
      <c r="F108" s="320" t="s">
        <v>1000</v>
      </c>
      <c r="G108" s="320" t="s">
        <v>453</v>
      </c>
      <c r="H108" s="320" t="s">
        <v>1001</v>
      </c>
    </row>
    <row r="109" spans="1:8" x14ac:dyDescent="0.4">
      <c r="A109" s="323" t="str">
        <f t="shared" si="2"/>
        <v>724</v>
      </c>
      <c r="B109" s="320" t="s">
        <v>1002</v>
      </c>
      <c r="C109" s="320" t="s">
        <v>1003</v>
      </c>
      <c r="D109" s="320">
        <v>724</v>
      </c>
      <c r="E109" s="320" t="s">
        <v>1004</v>
      </c>
      <c r="F109" s="320" t="s">
        <v>1005</v>
      </c>
      <c r="G109" s="320" t="s">
        <v>459</v>
      </c>
      <c r="H109" s="320" t="s">
        <v>1006</v>
      </c>
    </row>
    <row r="110" spans="1:8" x14ac:dyDescent="0.4">
      <c r="A110" s="323" t="str">
        <f t="shared" si="2"/>
        <v>740</v>
      </c>
      <c r="B110" s="320" t="s">
        <v>1007</v>
      </c>
      <c r="C110" s="320" t="s">
        <v>1008</v>
      </c>
      <c r="D110" s="320">
        <v>740</v>
      </c>
      <c r="E110" s="320" t="s">
        <v>1009</v>
      </c>
      <c r="F110" s="320" t="s">
        <v>1010</v>
      </c>
      <c r="G110" s="320" t="s">
        <v>506</v>
      </c>
      <c r="H110" s="320" t="s">
        <v>1011</v>
      </c>
    </row>
    <row r="111" spans="1:8" x14ac:dyDescent="0.4">
      <c r="A111" s="323" t="str">
        <f t="shared" si="2"/>
        <v>144</v>
      </c>
      <c r="B111" s="320" t="s">
        <v>1012</v>
      </c>
      <c r="C111" s="320" t="s">
        <v>1013</v>
      </c>
      <c r="D111" s="320">
        <v>144</v>
      </c>
      <c r="E111" s="320" t="s">
        <v>1014</v>
      </c>
      <c r="F111" s="320" t="s">
        <v>1015</v>
      </c>
      <c r="G111" s="320" t="s">
        <v>589</v>
      </c>
      <c r="H111" s="320" t="s">
        <v>1016</v>
      </c>
    </row>
    <row r="112" spans="1:8" x14ac:dyDescent="0.4">
      <c r="A112" s="323" t="str">
        <f t="shared" si="2"/>
        <v>703</v>
      </c>
      <c r="B112" s="320" t="s">
        <v>1017</v>
      </c>
      <c r="C112" s="320" t="s">
        <v>1018</v>
      </c>
      <c r="D112" s="320">
        <v>703</v>
      </c>
      <c r="E112" s="320" t="s">
        <v>1019</v>
      </c>
      <c r="F112" s="320" t="s">
        <v>1020</v>
      </c>
      <c r="G112" s="320" t="s">
        <v>465</v>
      </c>
      <c r="H112" s="320" t="s">
        <v>1021</v>
      </c>
    </row>
    <row r="113" spans="1:8" x14ac:dyDescent="0.4">
      <c r="A113" s="323" t="str">
        <f t="shared" si="2"/>
        <v>705</v>
      </c>
      <c r="B113" s="320" t="s">
        <v>1022</v>
      </c>
      <c r="C113" s="320" t="s">
        <v>1023</v>
      </c>
      <c r="D113" s="320">
        <v>705</v>
      </c>
      <c r="E113" s="320" t="s">
        <v>1024</v>
      </c>
      <c r="F113" s="320" t="s">
        <v>1025</v>
      </c>
      <c r="G113" s="320" t="s">
        <v>465</v>
      </c>
      <c r="H113" s="320" t="s">
        <v>1026</v>
      </c>
    </row>
    <row r="114" spans="1:8" x14ac:dyDescent="0.4">
      <c r="A114" s="323" t="str">
        <f t="shared" si="2"/>
        <v>690</v>
      </c>
      <c r="B114" s="320" t="s">
        <v>1027</v>
      </c>
      <c r="C114" s="320" t="s">
        <v>1028</v>
      </c>
      <c r="D114" s="320">
        <v>690</v>
      </c>
      <c r="E114" s="320" t="s">
        <v>1029</v>
      </c>
      <c r="F114" s="320" t="s">
        <v>1030</v>
      </c>
      <c r="G114" s="320" t="s">
        <v>558</v>
      </c>
      <c r="H114" s="320" t="s">
        <v>1031</v>
      </c>
    </row>
    <row r="115" spans="1:8" x14ac:dyDescent="0.4">
      <c r="A115" s="323" t="str">
        <f t="shared" si="2"/>
        <v>226</v>
      </c>
      <c r="B115" s="320" t="s">
        <v>1032</v>
      </c>
      <c r="C115" s="320" t="s">
        <v>1033</v>
      </c>
      <c r="D115" s="320">
        <v>226</v>
      </c>
      <c r="E115" s="320" t="s">
        <v>1034</v>
      </c>
      <c r="F115" s="320" t="s">
        <v>1035</v>
      </c>
      <c r="G115" s="320" t="s">
        <v>606</v>
      </c>
      <c r="H115" s="320" t="s">
        <v>1036</v>
      </c>
    </row>
    <row r="116" spans="1:8" x14ac:dyDescent="0.4">
      <c r="A116" s="323" t="str">
        <f t="shared" si="2"/>
        <v>686</v>
      </c>
      <c r="B116" s="320" t="s">
        <v>1037</v>
      </c>
      <c r="C116" s="320" t="s">
        <v>1038</v>
      </c>
      <c r="D116" s="320">
        <v>686</v>
      </c>
      <c r="E116" s="320" t="s">
        <v>1039</v>
      </c>
      <c r="F116" s="320" t="s">
        <v>1040</v>
      </c>
      <c r="G116" s="320" t="s">
        <v>689</v>
      </c>
      <c r="H116" s="320" t="s">
        <v>1041</v>
      </c>
    </row>
    <row r="117" spans="1:8" x14ac:dyDescent="0.4">
      <c r="A117" s="323" t="str">
        <f t="shared" si="2"/>
        <v>688</v>
      </c>
      <c r="B117" s="320" t="s">
        <v>1042</v>
      </c>
      <c r="C117" s="320" t="s">
        <v>1043</v>
      </c>
      <c r="D117" s="320">
        <v>688</v>
      </c>
      <c r="E117" s="320" t="s">
        <v>1044</v>
      </c>
      <c r="F117" s="320" t="s">
        <v>1045</v>
      </c>
      <c r="G117" s="320" t="s">
        <v>465</v>
      </c>
      <c r="H117" s="320" t="s">
        <v>1046</v>
      </c>
    </row>
    <row r="118" spans="1:8" x14ac:dyDescent="0.4">
      <c r="A118" s="323" t="str">
        <f t="shared" si="2"/>
        <v>659</v>
      </c>
      <c r="B118" s="320" t="s">
        <v>1047</v>
      </c>
      <c r="C118" s="320" t="s">
        <v>1048</v>
      </c>
      <c r="D118" s="320">
        <v>659</v>
      </c>
      <c r="E118" s="320" t="s">
        <v>1049</v>
      </c>
      <c r="F118" s="320" t="s">
        <v>1050</v>
      </c>
      <c r="G118" s="320" t="s">
        <v>483</v>
      </c>
      <c r="H118" s="320" t="s">
        <v>1051</v>
      </c>
    </row>
    <row r="119" spans="1:8" x14ac:dyDescent="0.4">
      <c r="A119" s="323" t="str">
        <f t="shared" si="2"/>
        <v>670</v>
      </c>
      <c r="B119" s="320" t="s">
        <v>1052</v>
      </c>
      <c r="C119" s="320" t="s">
        <v>1053</v>
      </c>
      <c r="D119" s="320">
        <v>670</v>
      </c>
      <c r="E119" s="320" t="s">
        <v>1054</v>
      </c>
      <c r="F119" s="320" t="s">
        <v>1055</v>
      </c>
      <c r="G119" s="320" t="s">
        <v>483</v>
      </c>
      <c r="H119" s="320" t="s">
        <v>1056</v>
      </c>
    </row>
    <row r="120" spans="1:8" x14ac:dyDescent="0.4">
      <c r="A120" s="323" t="str">
        <f t="shared" si="2"/>
        <v>654</v>
      </c>
      <c r="B120" s="320" t="s">
        <v>1057</v>
      </c>
      <c r="C120" s="320" t="s">
        <v>1058</v>
      </c>
      <c r="D120" s="320">
        <v>654</v>
      </c>
      <c r="E120" s="320" t="s">
        <v>1059</v>
      </c>
      <c r="F120" s="320" t="s">
        <v>1060</v>
      </c>
      <c r="G120" s="320" t="s">
        <v>689</v>
      </c>
      <c r="H120" s="320" t="s">
        <v>1061</v>
      </c>
    </row>
    <row r="121" spans="1:8" x14ac:dyDescent="0.4">
      <c r="A121" s="323" t="str">
        <f t="shared" si="2"/>
        <v>662</v>
      </c>
      <c r="B121" s="320" t="s">
        <v>1062</v>
      </c>
      <c r="C121" s="320" t="s">
        <v>1063</v>
      </c>
      <c r="D121" s="320">
        <v>662</v>
      </c>
      <c r="E121" s="320" t="s">
        <v>1064</v>
      </c>
      <c r="F121" s="320" t="s">
        <v>1065</v>
      </c>
      <c r="G121" s="320" t="s">
        <v>483</v>
      </c>
      <c r="H121" s="320" t="s">
        <v>1066</v>
      </c>
    </row>
    <row r="122" spans="1:8" x14ac:dyDescent="0.4">
      <c r="A122" s="323" t="str">
        <f t="shared" si="2"/>
        <v>706</v>
      </c>
      <c r="B122" s="320" t="s">
        <v>1067</v>
      </c>
      <c r="C122" s="320" t="s">
        <v>1068</v>
      </c>
      <c r="D122" s="320">
        <v>706</v>
      </c>
      <c r="E122" s="320" t="s">
        <v>1069</v>
      </c>
      <c r="F122" s="320" t="s">
        <v>1070</v>
      </c>
      <c r="G122" s="320" t="s">
        <v>648</v>
      </c>
      <c r="H122" s="320" t="s">
        <v>1071</v>
      </c>
    </row>
    <row r="123" spans="1:8" x14ac:dyDescent="0.4">
      <c r="A123" s="323" t="str">
        <f t="shared" si="2"/>
        <v>090</v>
      </c>
      <c r="B123" s="320" t="s">
        <v>1072</v>
      </c>
      <c r="C123" s="320" t="s">
        <v>1073</v>
      </c>
      <c r="D123" s="320">
        <v>90</v>
      </c>
      <c r="E123" s="320" t="s">
        <v>1074</v>
      </c>
      <c r="F123" s="320" t="s">
        <v>1075</v>
      </c>
      <c r="G123" s="320" t="s">
        <v>489</v>
      </c>
      <c r="H123" s="320" t="s">
        <v>1076</v>
      </c>
    </row>
    <row r="124" spans="1:8" x14ac:dyDescent="0.4">
      <c r="A124" s="323" t="str">
        <f t="shared" si="2"/>
        <v>796</v>
      </c>
      <c r="B124" s="320" t="s">
        <v>1077</v>
      </c>
      <c r="C124" s="320" t="s">
        <v>1078</v>
      </c>
      <c r="D124" s="320">
        <v>796</v>
      </c>
      <c r="E124" s="320" t="s">
        <v>1079</v>
      </c>
      <c r="F124" s="320" t="s">
        <v>1080</v>
      </c>
      <c r="G124" s="320" t="s">
        <v>483</v>
      </c>
      <c r="H124" s="320" t="s">
        <v>1081</v>
      </c>
    </row>
    <row r="125" spans="1:8" x14ac:dyDescent="0.4">
      <c r="A125" s="323" t="str">
        <f t="shared" si="2"/>
        <v>764</v>
      </c>
      <c r="B125" s="320" t="s">
        <v>1082</v>
      </c>
      <c r="C125" s="320" t="s">
        <v>1083</v>
      </c>
      <c r="D125" s="320">
        <v>764</v>
      </c>
      <c r="E125" s="320" t="s">
        <v>1084</v>
      </c>
      <c r="F125" s="320" t="s">
        <v>1085</v>
      </c>
      <c r="G125" s="320" t="s">
        <v>595</v>
      </c>
      <c r="H125" s="320" t="s">
        <v>1086</v>
      </c>
    </row>
    <row r="126" spans="1:8" x14ac:dyDescent="0.4">
      <c r="A126" s="323" t="str">
        <f t="shared" si="2"/>
        <v>410</v>
      </c>
      <c r="B126" s="320" t="s">
        <v>1087</v>
      </c>
      <c r="C126" s="320" t="s">
        <v>1088</v>
      </c>
      <c r="D126" s="320">
        <v>410</v>
      </c>
      <c r="E126" s="320" t="s">
        <v>1089</v>
      </c>
      <c r="F126" s="320" t="s">
        <v>1090</v>
      </c>
      <c r="G126" s="320" t="s">
        <v>1091</v>
      </c>
      <c r="H126" s="320" t="s">
        <v>1092</v>
      </c>
    </row>
    <row r="127" spans="1:8" x14ac:dyDescent="0.4">
      <c r="A127" s="323" t="str">
        <f t="shared" si="2"/>
        <v>158</v>
      </c>
      <c r="B127" s="320" t="s">
        <v>1093</v>
      </c>
      <c r="C127" s="320" t="s">
        <v>1094</v>
      </c>
      <c r="D127" s="320">
        <v>158</v>
      </c>
      <c r="E127" s="320" t="s">
        <v>1095</v>
      </c>
      <c r="F127" s="320" t="s">
        <v>1096</v>
      </c>
      <c r="G127" s="320" t="s">
        <v>1091</v>
      </c>
      <c r="H127" s="320" t="s">
        <v>1097</v>
      </c>
    </row>
    <row r="128" spans="1:8" x14ac:dyDescent="0.4">
      <c r="A128" s="323" t="str">
        <f t="shared" si="2"/>
        <v>762</v>
      </c>
      <c r="B128" s="320" t="s">
        <v>1098</v>
      </c>
      <c r="C128" s="320" t="s">
        <v>1099</v>
      </c>
      <c r="D128" s="320">
        <v>762</v>
      </c>
      <c r="E128" s="320" t="s">
        <v>1100</v>
      </c>
      <c r="F128" s="320" t="s">
        <v>1101</v>
      </c>
      <c r="G128" s="320" t="s">
        <v>617</v>
      </c>
      <c r="H128" s="320" t="s">
        <v>1102</v>
      </c>
    </row>
    <row r="129" spans="1:8" x14ac:dyDescent="0.4">
      <c r="A129" s="323" t="str">
        <f t="shared" si="2"/>
        <v>834</v>
      </c>
      <c r="B129" s="320" t="s">
        <v>1103</v>
      </c>
      <c r="C129" s="320" t="s">
        <v>1104</v>
      </c>
      <c r="D129" s="320">
        <v>834</v>
      </c>
      <c r="E129" s="320" t="s">
        <v>1105</v>
      </c>
      <c r="F129" s="320" t="s">
        <v>1106</v>
      </c>
      <c r="G129" s="320" t="s">
        <v>648</v>
      </c>
      <c r="H129" s="320" t="s">
        <v>1107</v>
      </c>
    </row>
    <row r="130" spans="1:8" x14ac:dyDescent="0.4">
      <c r="A130" s="323" t="str">
        <f t="shared" si="2"/>
        <v>203</v>
      </c>
      <c r="B130" s="320" t="s">
        <v>1108</v>
      </c>
      <c r="C130" s="320" t="s">
        <v>1109</v>
      </c>
      <c r="D130" s="320">
        <v>203</v>
      </c>
      <c r="E130" s="320" t="s">
        <v>1110</v>
      </c>
      <c r="F130" s="320" t="s">
        <v>1111</v>
      </c>
      <c r="G130" s="320" t="s">
        <v>465</v>
      </c>
      <c r="H130" s="320" t="s">
        <v>1112</v>
      </c>
    </row>
    <row r="131" spans="1:8" x14ac:dyDescent="0.4">
      <c r="A131" s="323" t="str">
        <f t="shared" ref="A131:A194" si="3">TEXT(D131,"00#")</f>
        <v>148</v>
      </c>
      <c r="B131" s="320" t="s">
        <v>1113</v>
      </c>
      <c r="C131" s="320" t="s">
        <v>1114</v>
      </c>
      <c r="D131" s="320">
        <v>148</v>
      </c>
      <c r="E131" s="320" t="s">
        <v>1115</v>
      </c>
      <c r="F131" s="320" t="s">
        <v>1116</v>
      </c>
      <c r="G131" s="320" t="s">
        <v>606</v>
      </c>
      <c r="H131" s="320" t="s">
        <v>1117</v>
      </c>
    </row>
    <row r="132" spans="1:8" x14ac:dyDescent="0.4">
      <c r="A132" s="323" t="str">
        <f t="shared" si="3"/>
        <v>140</v>
      </c>
      <c r="B132" s="320" t="s">
        <v>1118</v>
      </c>
      <c r="C132" s="320" t="s">
        <v>1119</v>
      </c>
      <c r="D132" s="320">
        <v>140</v>
      </c>
      <c r="E132" s="320" t="s">
        <v>1120</v>
      </c>
      <c r="F132" s="320" t="s">
        <v>1121</v>
      </c>
      <c r="G132" s="320" t="s">
        <v>606</v>
      </c>
      <c r="H132" s="320" t="s">
        <v>1122</v>
      </c>
    </row>
    <row r="133" spans="1:8" x14ac:dyDescent="0.4">
      <c r="A133" s="323" t="str">
        <f t="shared" si="3"/>
        <v>156</v>
      </c>
      <c r="B133" s="320" t="s">
        <v>1123</v>
      </c>
      <c r="C133" s="320" t="s">
        <v>1124</v>
      </c>
      <c r="D133" s="320">
        <v>156</v>
      </c>
      <c r="E133" s="320" t="s">
        <v>1125</v>
      </c>
      <c r="F133" s="320" t="s">
        <v>1126</v>
      </c>
      <c r="G133" s="320" t="s">
        <v>1091</v>
      </c>
      <c r="H133" s="320" t="s">
        <v>1127</v>
      </c>
    </row>
    <row r="134" spans="1:8" x14ac:dyDescent="0.4">
      <c r="A134" s="323" t="str">
        <f t="shared" si="3"/>
        <v>788</v>
      </c>
      <c r="B134" s="320" t="s">
        <v>1128</v>
      </c>
      <c r="C134" s="320" t="s">
        <v>1129</v>
      </c>
      <c r="D134" s="320">
        <v>788</v>
      </c>
      <c r="E134" s="320" t="s">
        <v>1130</v>
      </c>
      <c r="F134" s="320" t="s">
        <v>1131</v>
      </c>
      <c r="G134" s="320" t="s">
        <v>500</v>
      </c>
      <c r="H134" s="320" t="s">
        <v>1132</v>
      </c>
    </row>
    <row r="135" spans="1:8" x14ac:dyDescent="0.4">
      <c r="A135" s="323" t="str">
        <f t="shared" si="3"/>
        <v>408</v>
      </c>
      <c r="B135" s="320" t="s">
        <v>1133</v>
      </c>
      <c r="C135" s="320" t="s">
        <v>1134</v>
      </c>
      <c r="D135" s="320">
        <v>408</v>
      </c>
      <c r="E135" s="320" t="s">
        <v>1135</v>
      </c>
      <c r="F135" s="320" t="s">
        <v>1136</v>
      </c>
      <c r="G135" s="320" t="s">
        <v>1091</v>
      </c>
      <c r="H135" s="320" t="s">
        <v>1137</v>
      </c>
    </row>
    <row r="136" spans="1:8" x14ac:dyDescent="0.4">
      <c r="A136" s="323" t="str">
        <f t="shared" si="3"/>
        <v>152</v>
      </c>
      <c r="B136" s="320" t="s">
        <v>1138</v>
      </c>
      <c r="C136" s="320" t="s">
        <v>1139</v>
      </c>
      <c r="D136" s="320">
        <v>152</v>
      </c>
      <c r="E136" s="320" t="s">
        <v>1140</v>
      </c>
      <c r="F136" s="320" t="s">
        <v>1141</v>
      </c>
      <c r="G136" s="320" t="s">
        <v>506</v>
      </c>
      <c r="H136" s="320" t="s">
        <v>1142</v>
      </c>
    </row>
    <row r="137" spans="1:8" x14ac:dyDescent="0.4">
      <c r="A137" s="323" t="str">
        <f t="shared" si="3"/>
        <v>798</v>
      </c>
      <c r="B137" s="320" t="s">
        <v>1143</v>
      </c>
      <c r="C137" s="320" t="s">
        <v>1144</v>
      </c>
      <c r="D137" s="320">
        <v>798</v>
      </c>
      <c r="E137" s="320" t="s">
        <v>1145</v>
      </c>
      <c r="F137" s="320" t="s">
        <v>1146</v>
      </c>
      <c r="G137" s="320" t="s">
        <v>489</v>
      </c>
      <c r="H137" s="320" t="s">
        <v>1147</v>
      </c>
    </row>
    <row r="138" spans="1:8" x14ac:dyDescent="0.4">
      <c r="A138" s="323" t="str">
        <f t="shared" si="3"/>
        <v>208</v>
      </c>
      <c r="B138" s="320" t="s">
        <v>1148</v>
      </c>
      <c r="C138" s="320" t="s">
        <v>1149</v>
      </c>
      <c r="D138" s="320">
        <v>208</v>
      </c>
      <c r="E138" s="320" t="s">
        <v>1150</v>
      </c>
      <c r="F138" s="320" t="s">
        <v>1151</v>
      </c>
      <c r="G138" s="320" t="s">
        <v>453</v>
      </c>
      <c r="H138" s="320" t="s">
        <v>1152</v>
      </c>
    </row>
    <row r="139" spans="1:8" x14ac:dyDescent="0.4">
      <c r="A139" s="323" t="str">
        <f t="shared" si="3"/>
        <v>276</v>
      </c>
      <c r="B139" s="320" t="s">
        <v>1153</v>
      </c>
      <c r="C139" s="320" t="s">
        <v>1154</v>
      </c>
      <c r="D139" s="320">
        <v>276</v>
      </c>
      <c r="E139" s="320" t="s">
        <v>1155</v>
      </c>
      <c r="F139" s="320" t="s">
        <v>1156</v>
      </c>
      <c r="G139" s="320" t="s">
        <v>459</v>
      </c>
      <c r="H139" s="320" t="s">
        <v>1157</v>
      </c>
    </row>
    <row r="140" spans="1:8" x14ac:dyDescent="0.4">
      <c r="A140" s="323" t="str">
        <f t="shared" si="3"/>
        <v>768</v>
      </c>
      <c r="B140" s="320" t="s">
        <v>1158</v>
      </c>
      <c r="C140" s="320" t="s">
        <v>1159</v>
      </c>
      <c r="D140" s="320">
        <v>768</v>
      </c>
      <c r="E140" s="320" t="s">
        <v>1160</v>
      </c>
      <c r="F140" s="320" t="s">
        <v>1161</v>
      </c>
      <c r="G140" s="320" t="s">
        <v>689</v>
      </c>
      <c r="H140" s="320" t="s">
        <v>1162</v>
      </c>
    </row>
    <row r="141" spans="1:8" x14ac:dyDescent="0.4">
      <c r="A141" s="323" t="str">
        <f t="shared" si="3"/>
        <v>772</v>
      </c>
      <c r="B141" s="320" t="s">
        <v>1163</v>
      </c>
      <c r="C141" s="320" t="s">
        <v>1164</v>
      </c>
      <c r="D141" s="320">
        <v>772</v>
      </c>
      <c r="E141" s="320" t="s">
        <v>1165</v>
      </c>
      <c r="F141" s="320" t="s">
        <v>1166</v>
      </c>
      <c r="G141" s="320" t="s">
        <v>489</v>
      </c>
      <c r="H141" s="320" t="s">
        <v>1167</v>
      </c>
    </row>
    <row r="142" spans="1:8" x14ac:dyDescent="0.4">
      <c r="A142" s="323" t="str">
        <f t="shared" si="3"/>
        <v>214</v>
      </c>
      <c r="B142" s="320" t="s">
        <v>1168</v>
      </c>
      <c r="C142" s="320" t="s">
        <v>1169</v>
      </c>
      <c r="D142" s="320">
        <v>214</v>
      </c>
      <c r="E142" s="320" t="s">
        <v>1170</v>
      </c>
      <c r="F142" s="320" t="s">
        <v>1171</v>
      </c>
      <c r="G142" s="320" t="s">
        <v>483</v>
      </c>
      <c r="H142" s="320" t="s">
        <v>1172</v>
      </c>
    </row>
    <row r="143" spans="1:8" x14ac:dyDescent="0.4">
      <c r="A143" s="323" t="str">
        <f t="shared" si="3"/>
        <v>212</v>
      </c>
      <c r="B143" s="320" t="s">
        <v>1173</v>
      </c>
      <c r="C143" s="320" t="s">
        <v>1174</v>
      </c>
      <c r="D143" s="320">
        <v>212</v>
      </c>
      <c r="E143" s="320" t="s">
        <v>1175</v>
      </c>
      <c r="F143" s="320" t="s">
        <v>1176</v>
      </c>
      <c r="G143" s="320" t="s">
        <v>483</v>
      </c>
      <c r="H143" s="320" t="s">
        <v>1177</v>
      </c>
    </row>
    <row r="144" spans="1:8" x14ac:dyDescent="0.4">
      <c r="A144" s="323" t="str">
        <f t="shared" si="3"/>
        <v>780</v>
      </c>
      <c r="B144" s="320" t="s">
        <v>1178</v>
      </c>
      <c r="C144" s="320" t="s">
        <v>1179</v>
      </c>
      <c r="D144" s="320">
        <v>780</v>
      </c>
      <c r="E144" s="320" t="s">
        <v>1180</v>
      </c>
      <c r="F144" s="320" t="s">
        <v>1181</v>
      </c>
      <c r="G144" s="320" t="s">
        <v>483</v>
      </c>
      <c r="H144" s="320" t="s">
        <v>1182</v>
      </c>
    </row>
    <row r="145" spans="1:8" x14ac:dyDescent="0.4">
      <c r="A145" s="323" t="str">
        <f t="shared" si="3"/>
        <v>795</v>
      </c>
      <c r="B145" s="320" t="s">
        <v>1183</v>
      </c>
      <c r="C145" s="320" t="s">
        <v>1184</v>
      </c>
      <c r="D145" s="320">
        <v>795</v>
      </c>
      <c r="E145" s="320" t="s">
        <v>1185</v>
      </c>
      <c r="F145" s="320" t="s">
        <v>1186</v>
      </c>
      <c r="G145" s="320" t="s">
        <v>617</v>
      </c>
      <c r="H145" s="320" t="s">
        <v>1187</v>
      </c>
    </row>
    <row r="146" spans="1:8" x14ac:dyDescent="0.4">
      <c r="A146" s="323" t="str">
        <f t="shared" si="3"/>
        <v>792</v>
      </c>
      <c r="B146" s="320" t="s">
        <v>1188</v>
      </c>
      <c r="C146" s="320" t="s">
        <v>1189</v>
      </c>
      <c r="D146" s="320">
        <v>792</v>
      </c>
      <c r="E146" s="320" t="s">
        <v>1190</v>
      </c>
      <c r="F146" s="320" t="s">
        <v>1191</v>
      </c>
      <c r="G146" s="320" t="s">
        <v>471</v>
      </c>
      <c r="H146" s="320" t="s">
        <v>1192</v>
      </c>
    </row>
    <row r="147" spans="1:8" x14ac:dyDescent="0.4">
      <c r="A147" s="323" t="str">
        <f t="shared" si="3"/>
        <v>776</v>
      </c>
      <c r="B147" s="320" t="s">
        <v>1193</v>
      </c>
      <c r="C147" s="320" t="s">
        <v>1194</v>
      </c>
      <c r="D147" s="320">
        <v>776</v>
      </c>
      <c r="E147" s="320" t="s">
        <v>1195</v>
      </c>
      <c r="F147" s="320" t="s">
        <v>1196</v>
      </c>
      <c r="G147" s="320" t="s">
        <v>489</v>
      </c>
      <c r="H147" s="320" t="s">
        <v>1197</v>
      </c>
    </row>
    <row r="148" spans="1:8" x14ac:dyDescent="0.4">
      <c r="A148" s="323" t="str">
        <f t="shared" si="3"/>
        <v>566</v>
      </c>
      <c r="B148" s="320" t="s">
        <v>1198</v>
      </c>
      <c r="C148" s="320" t="s">
        <v>1199</v>
      </c>
      <c r="D148" s="320">
        <v>566</v>
      </c>
      <c r="E148" s="320" t="s">
        <v>1200</v>
      </c>
      <c r="F148" s="320" t="s">
        <v>1201</v>
      </c>
      <c r="G148" s="320" t="s">
        <v>606</v>
      </c>
      <c r="H148" s="320" t="s">
        <v>1202</v>
      </c>
    </row>
    <row r="149" spans="1:8" x14ac:dyDescent="0.4">
      <c r="A149" s="323" t="str">
        <f t="shared" si="3"/>
        <v>520</v>
      </c>
      <c r="B149" s="320" t="s">
        <v>1203</v>
      </c>
      <c r="C149" s="320" t="s">
        <v>1204</v>
      </c>
      <c r="D149" s="320">
        <v>520</v>
      </c>
      <c r="E149" s="320" t="s">
        <v>1205</v>
      </c>
      <c r="F149" s="320" t="s">
        <v>1206</v>
      </c>
      <c r="G149" s="320" t="s">
        <v>489</v>
      </c>
      <c r="H149" s="320" t="s">
        <v>1207</v>
      </c>
    </row>
    <row r="150" spans="1:8" x14ac:dyDescent="0.4">
      <c r="A150" s="323" t="str">
        <f t="shared" si="3"/>
        <v>516</v>
      </c>
      <c r="B150" s="320" t="s">
        <v>1208</v>
      </c>
      <c r="C150" s="320" t="s">
        <v>1209</v>
      </c>
      <c r="D150" s="320">
        <v>516</v>
      </c>
      <c r="E150" s="320" t="s">
        <v>1210</v>
      </c>
      <c r="F150" s="320" t="s">
        <v>1211</v>
      </c>
      <c r="G150" s="320" t="s">
        <v>532</v>
      </c>
      <c r="H150" s="320" t="s">
        <v>1212</v>
      </c>
    </row>
    <row r="151" spans="1:8" x14ac:dyDescent="0.4">
      <c r="A151" s="323" t="str">
        <f t="shared" si="3"/>
        <v>010</v>
      </c>
      <c r="B151" s="320" t="s">
        <v>1213</v>
      </c>
      <c r="C151" s="320" t="s">
        <v>1214</v>
      </c>
      <c r="D151" s="320">
        <v>10</v>
      </c>
      <c r="E151" s="320" t="s">
        <v>1215</v>
      </c>
      <c r="F151" s="320" t="s">
        <v>1216</v>
      </c>
      <c r="G151" s="320" t="s">
        <v>1213</v>
      </c>
      <c r="H151" s="320" t="s">
        <v>1217</v>
      </c>
    </row>
    <row r="152" spans="1:8" x14ac:dyDescent="0.4">
      <c r="A152" s="323" t="str">
        <f t="shared" si="3"/>
        <v>570</v>
      </c>
      <c r="B152" s="320" t="s">
        <v>1218</v>
      </c>
      <c r="C152" s="320" t="s">
        <v>1219</v>
      </c>
      <c r="D152" s="320">
        <v>570</v>
      </c>
      <c r="E152" s="320" t="s">
        <v>1220</v>
      </c>
      <c r="F152" s="320" t="s">
        <v>1221</v>
      </c>
      <c r="G152" s="320" t="s">
        <v>489</v>
      </c>
      <c r="H152" s="320" t="s">
        <v>1222</v>
      </c>
    </row>
    <row r="153" spans="1:8" x14ac:dyDescent="0.4">
      <c r="A153" s="323" t="str">
        <f t="shared" si="3"/>
        <v>558</v>
      </c>
      <c r="B153" s="320" t="s">
        <v>1223</v>
      </c>
      <c r="C153" s="320" t="s">
        <v>1224</v>
      </c>
      <c r="D153" s="320">
        <v>558</v>
      </c>
      <c r="E153" s="320" t="s">
        <v>1225</v>
      </c>
      <c r="F153" s="320" t="s">
        <v>1226</v>
      </c>
      <c r="G153" s="320" t="s">
        <v>483</v>
      </c>
      <c r="H153" s="320" t="s">
        <v>1227</v>
      </c>
    </row>
    <row r="154" spans="1:8" x14ac:dyDescent="0.4">
      <c r="A154" s="323" t="str">
        <f t="shared" si="3"/>
        <v>562</v>
      </c>
      <c r="B154" s="320" t="s">
        <v>1228</v>
      </c>
      <c r="C154" s="320" t="s">
        <v>1229</v>
      </c>
      <c r="D154" s="320">
        <v>562</v>
      </c>
      <c r="E154" s="320" t="s">
        <v>1230</v>
      </c>
      <c r="F154" s="320" t="s">
        <v>1231</v>
      </c>
      <c r="G154" s="320" t="s">
        <v>606</v>
      </c>
      <c r="H154" s="320" t="s">
        <v>1232</v>
      </c>
    </row>
    <row r="155" spans="1:8" x14ac:dyDescent="0.4">
      <c r="A155" s="323" t="str">
        <f t="shared" si="3"/>
        <v>392</v>
      </c>
      <c r="B155" s="320" t="s">
        <v>1233</v>
      </c>
      <c r="C155" s="320" t="s">
        <v>1234</v>
      </c>
      <c r="D155" s="320">
        <v>392</v>
      </c>
      <c r="E155" s="320" t="s">
        <v>1235</v>
      </c>
      <c r="F155" s="320" t="s">
        <v>1236</v>
      </c>
      <c r="G155" s="320" t="s">
        <v>1091</v>
      </c>
      <c r="H155" s="320" t="s">
        <v>1237</v>
      </c>
    </row>
    <row r="156" spans="1:8" x14ac:dyDescent="0.4">
      <c r="A156" s="323" t="str">
        <f t="shared" si="3"/>
        <v>732</v>
      </c>
      <c r="B156" s="320" t="s">
        <v>1238</v>
      </c>
      <c r="C156" s="320" t="s">
        <v>1239</v>
      </c>
      <c r="D156" s="320">
        <v>732</v>
      </c>
      <c r="E156" s="320" t="s">
        <v>1240</v>
      </c>
      <c r="F156" s="320" t="s">
        <v>1241</v>
      </c>
      <c r="G156" s="320" t="s">
        <v>689</v>
      </c>
      <c r="H156" s="320" t="s">
        <v>1242</v>
      </c>
    </row>
    <row r="157" spans="1:8" x14ac:dyDescent="0.4">
      <c r="A157" s="323" t="str">
        <f t="shared" si="3"/>
        <v>540</v>
      </c>
      <c r="B157" s="320" t="s">
        <v>1243</v>
      </c>
      <c r="C157" s="320" t="s">
        <v>1244</v>
      </c>
      <c r="D157" s="320">
        <v>540</v>
      </c>
      <c r="E157" s="320" t="s">
        <v>1245</v>
      </c>
      <c r="F157" s="320" t="s">
        <v>1246</v>
      </c>
      <c r="G157" s="320" t="s">
        <v>489</v>
      </c>
      <c r="H157" s="320" t="s">
        <v>1247</v>
      </c>
    </row>
    <row r="158" spans="1:8" x14ac:dyDescent="0.4">
      <c r="A158" s="323" t="str">
        <f t="shared" si="3"/>
        <v>554</v>
      </c>
      <c r="B158" s="320" t="s">
        <v>1248</v>
      </c>
      <c r="C158" s="320" t="s">
        <v>1249</v>
      </c>
      <c r="D158" s="320">
        <v>554</v>
      </c>
      <c r="E158" s="320" t="s">
        <v>1250</v>
      </c>
      <c r="F158" s="320" t="s">
        <v>1251</v>
      </c>
      <c r="G158" s="320" t="s">
        <v>489</v>
      </c>
      <c r="H158" s="320" t="s">
        <v>1252</v>
      </c>
    </row>
    <row r="159" spans="1:8" x14ac:dyDescent="0.4">
      <c r="A159" s="323" t="str">
        <f t="shared" si="3"/>
        <v>524</v>
      </c>
      <c r="B159" s="320" t="s">
        <v>1253</v>
      </c>
      <c r="C159" s="320" t="s">
        <v>1254</v>
      </c>
      <c r="D159" s="320">
        <v>524</v>
      </c>
      <c r="E159" s="320" t="s">
        <v>1255</v>
      </c>
      <c r="F159" s="320" t="s">
        <v>1256</v>
      </c>
      <c r="G159" s="320" t="s">
        <v>589</v>
      </c>
      <c r="H159" s="320" t="s">
        <v>1257</v>
      </c>
    </row>
    <row r="160" spans="1:8" x14ac:dyDescent="0.4">
      <c r="A160" s="323" t="str">
        <f t="shared" si="3"/>
        <v>574</v>
      </c>
      <c r="B160" s="320" t="s">
        <v>1258</v>
      </c>
      <c r="C160" s="320" t="s">
        <v>1259</v>
      </c>
      <c r="D160" s="320">
        <v>574</v>
      </c>
      <c r="E160" s="320" t="s">
        <v>1260</v>
      </c>
      <c r="F160" s="320" t="s">
        <v>1261</v>
      </c>
      <c r="G160" s="320" t="s">
        <v>489</v>
      </c>
      <c r="H160" s="320" t="s">
        <v>1262</v>
      </c>
    </row>
    <row r="161" spans="1:8" x14ac:dyDescent="0.4">
      <c r="A161" s="323" t="str">
        <f t="shared" si="3"/>
        <v>578</v>
      </c>
      <c r="B161" s="320" t="s">
        <v>1263</v>
      </c>
      <c r="C161" s="320" t="s">
        <v>1264</v>
      </c>
      <c r="D161" s="320">
        <v>578</v>
      </c>
      <c r="E161" s="320" t="s">
        <v>1265</v>
      </c>
      <c r="F161" s="320" t="s">
        <v>1266</v>
      </c>
      <c r="G161" s="320" t="s">
        <v>453</v>
      </c>
      <c r="H161" s="320" t="s">
        <v>1267</v>
      </c>
    </row>
    <row r="162" spans="1:8" x14ac:dyDescent="0.4">
      <c r="A162" s="323" t="str">
        <f t="shared" si="3"/>
        <v>334</v>
      </c>
      <c r="B162" s="320" t="s">
        <v>1268</v>
      </c>
      <c r="C162" s="320" t="s">
        <v>1269</v>
      </c>
      <c r="D162" s="320">
        <v>334</v>
      </c>
      <c r="E162" s="320" t="s">
        <v>1270</v>
      </c>
      <c r="F162" s="320" t="s">
        <v>1271</v>
      </c>
      <c r="G162" s="320" t="s">
        <v>558</v>
      </c>
      <c r="H162" s="320" t="s">
        <v>1272</v>
      </c>
    </row>
    <row r="163" spans="1:8" x14ac:dyDescent="0.4">
      <c r="A163" s="323" t="str">
        <f t="shared" si="3"/>
        <v>048</v>
      </c>
      <c r="B163" s="320" t="s">
        <v>1273</v>
      </c>
      <c r="C163" s="320" t="s">
        <v>1274</v>
      </c>
      <c r="D163" s="320">
        <v>48</v>
      </c>
      <c r="E163" s="320" t="s">
        <v>1275</v>
      </c>
      <c r="F163" s="320" t="s">
        <v>1276</v>
      </c>
      <c r="G163" s="320" t="s">
        <v>471</v>
      </c>
      <c r="H163" s="320" t="s">
        <v>1277</v>
      </c>
    </row>
    <row r="164" spans="1:8" x14ac:dyDescent="0.4">
      <c r="A164" s="323" t="str">
        <f t="shared" si="3"/>
        <v>332</v>
      </c>
      <c r="B164" s="320" t="s">
        <v>1278</v>
      </c>
      <c r="C164" s="320" t="s">
        <v>1279</v>
      </c>
      <c r="D164" s="320">
        <v>332</v>
      </c>
      <c r="E164" s="320" t="s">
        <v>1280</v>
      </c>
      <c r="F164" s="320" t="s">
        <v>1281</v>
      </c>
      <c r="G164" s="320" t="s">
        <v>483</v>
      </c>
      <c r="H164" s="320" t="s">
        <v>1282</v>
      </c>
    </row>
    <row r="165" spans="1:8" x14ac:dyDescent="0.4">
      <c r="A165" s="323" t="str">
        <f t="shared" si="3"/>
        <v>586</v>
      </c>
      <c r="B165" s="320" t="s">
        <v>1283</v>
      </c>
      <c r="C165" s="320" t="s">
        <v>1284</v>
      </c>
      <c r="D165" s="320">
        <v>586</v>
      </c>
      <c r="E165" s="320" t="s">
        <v>1285</v>
      </c>
      <c r="F165" s="320" t="s">
        <v>1286</v>
      </c>
      <c r="G165" s="320" t="s">
        <v>589</v>
      </c>
      <c r="H165" s="320" t="s">
        <v>1287</v>
      </c>
    </row>
    <row r="166" spans="1:8" x14ac:dyDescent="0.4">
      <c r="A166" s="323" t="str">
        <f t="shared" si="3"/>
        <v>336</v>
      </c>
      <c r="B166" s="320" t="s">
        <v>1288</v>
      </c>
      <c r="C166" s="320" t="s">
        <v>1289</v>
      </c>
      <c r="D166" s="320">
        <v>336</v>
      </c>
      <c r="E166" s="320" t="s">
        <v>1290</v>
      </c>
      <c r="F166" s="320" t="s">
        <v>1291</v>
      </c>
      <c r="G166" s="320" t="s">
        <v>459</v>
      </c>
      <c r="H166" s="320" t="s">
        <v>1292</v>
      </c>
    </row>
    <row r="167" spans="1:8" x14ac:dyDescent="0.4">
      <c r="A167" s="323" t="str">
        <f t="shared" si="3"/>
        <v>591</v>
      </c>
      <c r="B167" s="320" t="s">
        <v>1293</v>
      </c>
      <c r="C167" s="320" t="s">
        <v>1294</v>
      </c>
      <c r="D167" s="320">
        <v>591</v>
      </c>
      <c r="E167" s="320" t="s">
        <v>1295</v>
      </c>
      <c r="F167" s="320" t="s">
        <v>1296</v>
      </c>
      <c r="G167" s="320" t="s">
        <v>483</v>
      </c>
      <c r="H167" s="320" t="s">
        <v>1297</v>
      </c>
    </row>
    <row r="168" spans="1:8" x14ac:dyDescent="0.4">
      <c r="A168" s="323" t="str">
        <f t="shared" si="3"/>
        <v>548</v>
      </c>
      <c r="B168" s="320" t="s">
        <v>1298</v>
      </c>
      <c r="C168" s="320" t="s">
        <v>1299</v>
      </c>
      <c r="D168" s="320">
        <v>548</v>
      </c>
      <c r="E168" s="320" t="s">
        <v>1300</v>
      </c>
      <c r="F168" s="320" t="s">
        <v>1301</v>
      </c>
      <c r="G168" s="320" t="s">
        <v>489</v>
      </c>
      <c r="H168" s="320" t="s">
        <v>1302</v>
      </c>
    </row>
    <row r="169" spans="1:8" x14ac:dyDescent="0.4">
      <c r="A169" s="323" t="str">
        <f t="shared" si="3"/>
        <v>044</v>
      </c>
      <c r="B169" s="320" t="s">
        <v>1303</v>
      </c>
      <c r="C169" s="320" t="s">
        <v>1304</v>
      </c>
      <c r="D169" s="320">
        <v>44</v>
      </c>
      <c r="E169" s="320" t="s">
        <v>1305</v>
      </c>
      <c r="F169" s="320" t="s">
        <v>1306</v>
      </c>
      <c r="G169" s="320" t="s">
        <v>483</v>
      </c>
      <c r="H169" s="320" t="s">
        <v>1307</v>
      </c>
    </row>
    <row r="170" spans="1:8" x14ac:dyDescent="0.4">
      <c r="A170" s="323" t="str">
        <f t="shared" si="3"/>
        <v>598</v>
      </c>
      <c r="B170" s="320" t="s">
        <v>1308</v>
      </c>
      <c r="C170" s="320" t="s">
        <v>1309</v>
      </c>
      <c r="D170" s="320">
        <v>598</v>
      </c>
      <c r="E170" s="320" t="s">
        <v>1310</v>
      </c>
      <c r="F170" s="320" t="s">
        <v>1311</v>
      </c>
      <c r="G170" s="320" t="s">
        <v>489</v>
      </c>
      <c r="H170" s="320" t="s">
        <v>1312</v>
      </c>
    </row>
    <row r="171" spans="1:8" x14ac:dyDescent="0.4">
      <c r="A171" s="323" t="str">
        <f t="shared" si="3"/>
        <v>060</v>
      </c>
      <c r="B171" s="320" t="s">
        <v>1313</v>
      </c>
      <c r="C171" s="320" t="s">
        <v>1314</v>
      </c>
      <c r="D171" s="320">
        <v>60</v>
      </c>
      <c r="E171" s="320" t="s">
        <v>1315</v>
      </c>
      <c r="F171" s="320" t="s">
        <v>1316</v>
      </c>
      <c r="G171" s="320" t="s">
        <v>483</v>
      </c>
      <c r="H171" s="320" t="s">
        <v>1317</v>
      </c>
    </row>
    <row r="172" spans="1:8" x14ac:dyDescent="0.4">
      <c r="A172" s="323" t="str">
        <f t="shared" si="3"/>
        <v>585</v>
      </c>
      <c r="B172" s="320" t="s">
        <v>1318</v>
      </c>
      <c r="C172" s="320" t="s">
        <v>1319</v>
      </c>
      <c r="D172" s="320">
        <v>585</v>
      </c>
      <c r="E172" s="320" t="s">
        <v>1320</v>
      </c>
      <c r="F172" s="320" t="s">
        <v>1321</v>
      </c>
      <c r="G172" s="320" t="s">
        <v>489</v>
      </c>
      <c r="H172" s="320" t="s">
        <v>1322</v>
      </c>
    </row>
    <row r="173" spans="1:8" x14ac:dyDescent="0.4">
      <c r="A173" s="323" t="str">
        <f t="shared" si="3"/>
        <v>600</v>
      </c>
      <c r="B173" s="320" t="s">
        <v>1323</v>
      </c>
      <c r="C173" s="320" t="s">
        <v>1324</v>
      </c>
      <c r="D173" s="320">
        <v>600</v>
      </c>
      <c r="E173" s="320" t="s">
        <v>1325</v>
      </c>
      <c r="F173" s="320" t="s">
        <v>1326</v>
      </c>
      <c r="G173" s="320" t="s">
        <v>506</v>
      </c>
      <c r="H173" s="320" t="s">
        <v>1327</v>
      </c>
    </row>
    <row r="174" spans="1:8" x14ac:dyDescent="0.4">
      <c r="A174" s="323" t="str">
        <f t="shared" si="3"/>
        <v>052</v>
      </c>
      <c r="B174" s="320" t="s">
        <v>1328</v>
      </c>
      <c r="C174" s="320" t="s">
        <v>1329</v>
      </c>
      <c r="D174" s="320">
        <v>52</v>
      </c>
      <c r="E174" s="320" t="s">
        <v>1330</v>
      </c>
      <c r="F174" s="320" t="s">
        <v>1331</v>
      </c>
      <c r="G174" s="320" t="s">
        <v>483</v>
      </c>
      <c r="H174" s="320" t="s">
        <v>1332</v>
      </c>
    </row>
    <row r="175" spans="1:8" x14ac:dyDescent="0.4">
      <c r="A175" s="323" t="str">
        <f t="shared" si="3"/>
        <v>275</v>
      </c>
      <c r="B175" s="320" t="s">
        <v>1333</v>
      </c>
      <c r="C175" s="320" t="s">
        <v>1334</v>
      </c>
      <c r="D175" s="320">
        <v>275</v>
      </c>
      <c r="E175" s="320" t="s">
        <v>1335</v>
      </c>
      <c r="F175" s="320" t="s">
        <v>1336</v>
      </c>
      <c r="G175" s="320" t="s">
        <v>471</v>
      </c>
      <c r="H175" s="320" t="s">
        <v>1337</v>
      </c>
    </row>
    <row r="176" spans="1:8" x14ac:dyDescent="0.4">
      <c r="A176" s="323" t="str">
        <f t="shared" si="3"/>
        <v>348</v>
      </c>
      <c r="B176" s="320" t="s">
        <v>1338</v>
      </c>
      <c r="C176" s="320" t="s">
        <v>1339</v>
      </c>
      <c r="D176" s="320">
        <v>348</v>
      </c>
      <c r="E176" s="320" t="s">
        <v>1340</v>
      </c>
      <c r="F176" s="320" t="s">
        <v>1341</v>
      </c>
      <c r="G176" s="320" t="s">
        <v>465</v>
      </c>
      <c r="H176" s="320" t="s">
        <v>1342</v>
      </c>
    </row>
    <row r="177" spans="1:8" x14ac:dyDescent="0.4">
      <c r="A177" s="323" t="str">
        <f t="shared" si="3"/>
        <v>050</v>
      </c>
      <c r="B177" s="320" t="s">
        <v>1343</v>
      </c>
      <c r="C177" s="320" t="s">
        <v>1344</v>
      </c>
      <c r="D177" s="320">
        <v>50</v>
      </c>
      <c r="E177" s="320" t="s">
        <v>1345</v>
      </c>
      <c r="F177" s="320" t="s">
        <v>1346</v>
      </c>
      <c r="G177" s="320" t="s">
        <v>589</v>
      </c>
      <c r="H177" s="320" t="s">
        <v>1347</v>
      </c>
    </row>
    <row r="178" spans="1:8" x14ac:dyDescent="0.4">
      <c r="A178" s="323" t="str">
        <f t="shared" si="3"/>
        <v>626</v>
      </c>
      <c r="B178" s="320" t="s">
        <v>1348</v>
      </c>
      <c r="C178" s="320" t="s">
        <v>1349</v>
      </c>
      <c r="D178" s="320">
        <v>626</v>
      </c>
      <c r="E178" s="320" t="s">
        <v>1350</v>
      </c>
      <c r="F178" s="320" t="s">
        <v>1351</v>
      </c>
      <c r="G178" s="320" t="s">
        <v>595</v>
      </c>
      <c r="H178" s="320" t="s">
        <v>1352</v>
      </c>
    </row>
    <row r="179" spans="1:8" x14ac:dyDescent="0.4">
      <c r="A179" s="323" t="str">
        <f t="shared" si="3"/>
        <v>612</v>
      </c>
      <c r="B179" s="320" t="s">
        <v>1353</v>
      </c>
      <c r="C179" s="320" t="s">
        <v>1354</v>
      </c>
      <c r="D179" s="320">
        <v>612</v>
      </c>
      <c r="E179" s="320" t="s">
        <v>1355</v>
      </c>
      <c r="F179" s="320" t="s">
        <v>1356</v>
      </c>
      <c r="G179" s="320" t="s">
        <v>489</v>
      </c>
      <c r="H179" s="320" t="s">
        <v>1357</v>
      </c>
    </row>
    <row r="180" spans="1:8" x14ac:dyDescent="0.4">
      <c r="A180" s="323" t="str">
        <f t="shared" si="3"/>
        <v>242</v>
      </c>
      <c r="B180" s="320" t="s">
        <v>1358</v>
      </c>
      <c r="C180" s="320" t="s">
        <v>1359</v>
      </c>
      <c r="D180" s="320">
        <v>242</v>
      </c>
      <c r="E180" s="320" t="s">
        <v>1360</v>
      </c>
      <c r="F180" s="320" t="s">
        <v>1361</v>
      </c>
      <c r="G180" s="320" t="s">
        <v>489</v>
      </c>
      <c r="H180" s="320" t="s">
        <v>1362</v>
      </c>
    </row>
    <row r="181" spans="1:8" x14ac:dyDescent="0.4">
      <c r="A181" s="323" t="str">
        <f t="shared" si="3"/>
        <v>608</v>
      </c>
      <c r="B181" s="320" t="s">
        <v>1363</v>
      </c>
      <c r="C181" s="320" t="s">
        <v>1364</v>
      </c>
      <c r="D181" s="320">
        <v>608</v>
      </c>
      <c r="E181" s="320" t="s">
        <v>1365</v>
      </c>
      <c r="F181" s="320" t="s">
        <v>1366</v>
      </c>
      <c r="G181" s="320" t="s">
        <v>595</v>
      </c>
      <c r="H181" s="320" t="s">
        <v>1367</v>
      </c>
    </row>
    <row r="182" spans="1:8" x14ac:dyDescent="0.4">
      <c r="A182" s="323" t="str">
        <f t="shared" si="3"/>
        <v>246</v>
      </c>
      <c r="B182" s="320" t="s">
        <v>1368</v>
      </c>
      <c r="C182" s="320" t="s">
        <v>1369</v>
      </c>
      <c r="D182" s="320">
        <v>246</v>
      </c>
      <c r="E182" s="320" t="s">
        <v>1370</v>
      </c>
      <c r="F182" s="320" t="s">
        <v>1371</v>
      </c>
      <c r="G182" s="320" t="s">
        <v>453</v>
      </c>
      <c r="H182" s="320" t="s">
        <v>1372</v>
      </c>
    </row>
    <row r="183" spans="1:8" x14ac:dyDescent="0.4">
      <c r="A183" s="323" t="str">
        <f t="shared" si="3"/>
        <v>064</v>
      </c>
      <c r="B183" s="320" t="s">
        <v>1373</v>
      </c>
      <c r="C183" s="320" t="s">
        <v>1374</v>
      </c>
      <c r="D183" s="320">
        <v>64</v>
      </c>
      <c r="E183" s="320" t="s">
        <v>1375</v>
      </c>
      <c r="F183" s="320" t="s">
        <v>1376</v>
      </c>
      <c r="G183" s="320" t="s">
        <v>589</v>
      </c>
      <c r="H183" s="320" t="s">
        <v>1377</v>
      </c>
    </row>
    <row r="184" spans="1:8" x14ac:dyDescent="0.4">
      <c r="A184" s="323" t="str">
        <f t="shared" si="3"/>
        <v>074</v>
      </c>
      <c r="B184" s="320" t="s">
        <v>1378</v>
      </c>
      <c r="C184" s="320" t="s">
        <v>1379</v>
      </c>
      <c r="D184" s="320">
        <v>74</v>
      </c>
      <c r="E184" s="320" t="s">
        <v>1380</v>
      </c>
      <c r="F184" s="320" t="s">
        <v>1381</v>
      </c>
      <c r="G184" s="320" t="s">
        <v>1213</v>
      </c>
      <c r="H184" s="320" t="s">
        <v>1382</v>
      </c>
    </row>
    <row r="185" spans="1:8" x14ac:dyDescent="0.4">
      <c r="A185" s="323" t="str">
        <f t="shared" si="3"/>
        <v>630</v>
      </c>
      <c r="B185" s="320" t="s">
        <v>1383</v>
      </c>
      <c r="C185" s="320" t="s">
        <v>1384</v>
      </c>
      <c r="D185" s="320">
        <v>630</v>
      </c>
      <c r="E185" s="320" t="s">
        <v>1385</v>
      </c>
      <c r="F185" s="320" t="s">
        <v>1386</v>
      </c>
      <c r="G185" s="320" t="s">
        <v>483</v>
      </c>
      <c r="H185" s="320" t="s">
        <v>1387</v>
      </c>
    </row>
    <row r="186" spans="1:8" x14ac:dyDescent="0.4">
      <c r="A186" s="323" t="str">
        <f t="shared" si="3"/>
        <v>234</v>
      </c>
      <c r="B186" s="320" t="s">
        <v>1388</v>
      </c>
      <c r="C186" s="320" t="s">
        <v>1389</v>
      </c>
      <c r="D186" s="320">
        <v>234</v>
      </c>
      <c r="E186" s="320" t="s">
        <v>1390</v>
      </c>
      <c r="F186" s="320" t="s">
        <v>1391</v>
      </c>
      <c r="G186" s="320" t="s">
        <v>453</v>
      </c>
      <c r="H186" s="320" t="s">
        <v>1392</v>
      </c>
    </row>
    <row r="187" spans="1:8" x14ac:dyDescent="0.4">
      <c r="A187" s="323" t="str">
        <f t="shared" si="3"/>
        <v>238</v>
      </c>
      <c r="B187" s="320" t="s">
        <v>1393</v>
      </c>
      <c r="C187" s="320" t="s">
        <v>1394</v>
      </c>
      <c r="D187" s="320">
        <v>238</v>
      </c>
      <c r="E187" s="320" t="s">
        <v>1395</v>
      </c>
      <c r="F187" s="320" t="s">
        <v>1396</v>
      </c>
      <c r="G187" s="320" t="s">
        <v>506</v>
      </c>
      <c r="H187" s="320" t="s">
        <v>1397</v>
      </c>
    </row>
    <row r="188" spans="1:8" x14ac:dyDescent="0.4">
      <c r="A188" s="323" t="str">
        <f t="shared" si="3"/>
        <v>076</v>
      </c>
      <c r="B188" s="320" t="s">
        <v>1398</v>
      </c>
      <c r="C188" s="320" t="s">
        <v>1399</v>
      </c>
      <c r="D188" s="320">
        <v>76</v>
      </c>
      <c r="E188" s="320" t="s">
        <v>1400</v>
      </c>
      <c r="F188" s="320" t="s">
        <v>1401</v>
      </c>
      <c r="G188" s="320" t="s">
        <v>506</v>
      </c>
      <c r="H188" s="320" t="s">
        <v>1402</v>
      </c>
    </row>
    <row r="189" spans="1:8" x14ac:dyDescent="0.4">
      <c r="A189" s="323" t="str">
        <f t="shared" si="3"/>
        <v>250</v>
      </c>
      <c r="B189" s="320" t="s">
        <v>1403</v>
      </c>
      <c r="C189" s="320" t="s">
        <v>1404</v>
      </c>
      <c r="D189" s="320">
        <v>250</v>
      </c>
      <c r="E189" s="320" t="s">
        <v>1405</v>
      </c>
      <c r="F189" s="320" t="s">
        <v>1406</v>
      </c>
      <c r="G189" s="320" t="s">
        <v>459</v>
      </c>
      <c r="H189" s="320" t="s">
        <v>1407</v>
      </c>
    </row>
    <row r="190" spans="1:8" x14ac:dyDescent="0.4">
      <c r="A190" s="323" t="str">
        <f t="shared" si="3"/>
        <v>254</v>
      </c>
      <c r="B190" s="320" t="s">
        <v>1408</v>
      </c>
      <c r="C190" s="320" t="s">
        <v>1409</v>
      </c>
      <c r="D190" s="320">
        <v>254</v>
      </c>
      <c r="E190" s="320" t="s">
        <v>1410</v>
      </c>
      <c r="F190" s="320" t="s">
        <v>1411</v>
      </c>
      <c r="G190" s="320" t="s">
        <v>506</v>
      </c>
      <c r="H190" s="320" t="s">
        <v>1412</v>
      </c>
    </row>
    <row r="191" spans="1:8" x14ac:dyDescent="0.4">
      <c r="A191" s="323" t="str">
        <f t="shared" si="3"/>
        <v>258</v>
      </c>
      <c r="B191" s="320" t="s">
        <v>1413</v>
      </c>
      <c r="C191" s="320" t="s">
        <v>1414</v>
      </c>
      <c r="D191" s="320">
        <v>258</v>
      </c>
      <c r="E191" s="320" t="s">
        <v>1415</v>
      </c>
      <c r="F191" s="320" t="s">
        <v>1416</v>
      </c>
      <c r="G191" s="320" t="s">
        <v>489</v>
      </c>
      <c r="H191" s="320" t="s">
        <v>1417</v>
      </c>
    </row>
    <row r="192" spans="1:8" x14ac:dyDescent="0.4">
      <c r="A192" s="323" t="str">
        <f t="shared" si="3"/>
        <v>260</v>
      </c>
      <c r="B192" s="320" t="s">
        <v>1418</v>
      </c>
      <c r="C192" s="320" t="s">
        <v>1419</v>
      </c>
      <c r="D192" s="320">
        <v>260</v>
      </c>
      <c r="E192" s="320" t="s">
        <v>1420</v>
      </c>
      <c r="F192" s="320" t="s">
        <v>1421</v>
      </c>
      <c r="G192" s="320" t="s">
        <v>558</v>
      </c>
      <c r="H192" s="320" t="s">
        <v>1422</v>
      </c>
    </row>
    <row r="193" spans="1:8" x14ac:dyDescent="0.4">
      <c r="A193" s="323" t="str">
        <f t="shared" si="3"/>
        <v>100</v>
      </c>
      <c r="B193" s="320" t="s">
        <v>1423</v>
      </c>
      <c r="C193" s="320" t="s">
        <v>1424</v>
      </c>
      <c r="D193" s="320">
        <v>100</v>
      </c>
      <c r="E193" s="320" t="s">
        <v>1425</v>
      </c>
      <c r="F193" s="320" t="s">
        <v>1426</v>
      </c>
      <c r="G193" s="320" t="s">
        <v>465</v>
      </c>
      <c r="H193" s="320" t="s">
        <v>1427</v>
      </c>
    </row>
    <row r="194" spans="1:8" x14ac:dyDescent="0.4">
      <c r="A194" s="323" t="str">
        <f t="shared" si="3"/>
        <v>854</v>
      </c>
      <c r="B194" s="320" t="s">
        <v>1428</v>
      </c>
      <c r="C194" s="320" t="s">
        <v>1429</v>
      </c>
      <c r="D194" s="320">
        <v>854</v>
      </c>
      <c r="E194" s="320" t="s">
        <v>1430</v>
      </c>
      <c r="F194" s="320" t="s">
        <v>1431</v>
      </c>
      <c r="G194" s="320" t="s">
        <v>689</v>
      </c>
      <c r="H194" s="320" t="s">
        <v>1432</v>
      </c>
    </row>
    <row r="195" spans="1:8" x14ac:dyDescent="0.4">
      <c r="A195" s="323" t="str">
        <f t="shared" ref="A195:A250" si="4">TEXT(D195,"00#")</f>
        <v>096</v>
      </c>
      <c r="B195" s="320" t="s">
        <v>1433</v>
      </c>
      <c r="C195" s="320" t="s">
        <v>1434</v>
      </c>
      <c r="D195" s="320">
        <v>96</v>
      </c>
      <c r="E195" s="320" t="s">
        <v>1435</v>
      </c>
      <c r="F195" s="320" t="s">
        <v>1436</v>
      </c>
      <c r="G195" s="320" t="s">
        <v>595</v>
      </c>
      <c r="H195" s="320" t="s">
        <v>1437</v>
      </c>
    </row>
    <row r="196" spans="1:8" x14ac:dyDescent="0.4">
      <c r="A196" s="323" t="str">
        <f t="shared" si="4"/>
        <v>108</v>
      </c>
      <c r="B196" s="320" t="s">
        <v>1438</v>
      </c>
      <c r="C196" s="320" t="s">
        <v>1439</v>
      </c>
      <c r="D196" s="320">
        <v>108</v>
      </c>
      <c r="E196" s="320" t="s">
        <v>1440</v>
      </c>
      <c r="F196" s="320" t="s">
        <v>1441</v>
      </c>
      <c r="G196" s="320" t="s">
        <v>606</v>
      </c>
      <c r="H196" s="320" t="s">
        <v>1442</v>
      </c>
    </row>
    <row r="197" spans="1:8" x14ac:dyDescent="0.4">
      <c r="A197" s="323" t="str">
        <f t="shared" si="4"/>
        <v>704</v>
      </c>
      <c r="B197" s="320" t="s">
        <v>1443</v>
      </c>
      <c r="C197" s="320" t="s">
        <v>1444</v>
      </c>
      <c r="D197" s="320">
        <v>704</v>
      </c>
      <c r="E197" s="320" t="s">
        <v>1445</v>
      </c>
      <c r="F197" s="320" t="s">
        <v>1446</v>
      </c>
      <c r="G197" s="320" t="s">
        <v>595</v>
      </c>
      <c r="H197" s="320" t="s">
        <v>1447</v>
      </c>
    </row>
    <row r="198" spans="1:8" x14ac:dyDescent="0.4">
      <c r="A198" s="323" t="str">
        <f t="shared" si="4"/>
        <v>204</v>
      </c>
      <c r="B198" s="320" t="s">
        <v>1448</v>
      </c>
      <c r="C198" s="320" t="s">
        <v>1449</v>
      </c>
      <c r="D198" s="320">
        <v>204</v>
      </c>
      <c r="E198" s="320" t="s">
        <v>1450</v>
      </c>
      <c r="F198" s="320" t="s">
        <v>1451</v>
      </c>
      <c r="G198" s="320" t="s">
        <v>689</v>
      </c>
      <c r="H198" s="320" t="s">
        <v>1452</v>
      </c>
    </row>
    <row r="199" spans="1:8" x14ac:dyDescent="0.4">
      <c r="A199" s="323" t="str">
        <f t="shared" si="4"/>
        <v>862</v>
      </c>
      <c r="B199" s="320" t="s">
        <v>1453</v>
      </c>
      <c r="C199" s="320" t="s">
        <v>1454</v>
      </c>
      <c r="D199" s="320">
        <v>862</v>
      </c>
      <c r="E199" s="320" t="s">
        <v>1455</v>
      </c>
      <c r="F199" s="320" t="s">
        <v>1456</v>
      </c>
      <c r="G199" s="320" t="s">
        <v>506</v>
      </c>
      <c r="H199" s="320" t="s">
        <v>1457</v>
      </c>
    </row>
    <row r="200" spans="1:8" x14ac:dyDescent="0.4">
      <c r="A200" s="323" t="str">
        <f t="shared" si="4"/>
        <v>112</v>
      </c>
      <c r="B200" s="320" t="s">
        <v>1458</v>
      </c>
      <c r="C200" s="320" t="s">
        <v>1459</v>
      </c>
      <c r="D200" s="320">
        <v>112</v>
      </c>
      <c r="E200" s="320" t="s">
        <v>1460</v>
      </c>
      <c r="F200" s="320" t="s">
        <v>1461</v>
      </c>
      <c r="G200" s="320" t="s">
        <v>465</v>
      </c>
      <c r="H200" s="320" t="s">
        <v>1462</v>
      </c>
    </row>
    <row r="201" spans="1:8" x14ac:dyDescent="0.4">
      <c r="A201" s="323" t="str">
        <f t="shared" si="4"/>
        <v>084</v>
      </c>
      <c r="B201" s="320" t="s">
        <v>1463</v>
      </c>
      <c r="C201" s="320" t="s">
        <v>1464</v>
      </c>
      <c r="D201" s="320">
        <v>84</v>
      </c>
      <c r="E201" s="320" t="s">
        <v>1465</v>
      </c>
      <c r="F201" s="320" t="s">
        <v>1466</v>
      </c>
      <c r="G201" s="320" t="s">
        <v>483</v>
      </c>
      <c r="H201" s="320" t="s">
        <v>1467</v>
      </c>
    </row>
    <row r="202" spans="1:8" x14ac:dyDescent="0.4">
      <c r="A202" s="323" t="str">
        <f t="shared" si="4"/>
        <v>604</v>
      </c>
      <c r="B202" s="320" t="s">
        <v>1468</v>
      </c>
      <c r="C202" s="320" t="s">
        <v>1469</v>
      </c>
      <c r="D202" s="320">
        <v>604</v>
      </c>
      <c r="E202" s="320" t="s">
        <v>1470</v>
      </c>
      <c r="F202" s="320" t="s">
        <v>1471</v>
      </c>
      <c r="G202" s="320" t="s">
        <v>506</v>
      </c>
      <c r="H202" s="320" t="s">
        <v>1472</v>
      </c>
    </row>
    <row r="203" spans="1:8" x14ac:dyDescent="0.4">
      <c r="A203" s="323" t="str">
        <f t="shared" si="4"/>
        <v>056</v>
      </c>
      <c r="B203" s="320" t="s">
        <v>1473</v>
      </c>
      <c r="C203" s="320" t="s">
        <v>1474</v>
      </c>
      <c r="D203" s="320">
        <v>56</v>
      </c>
      <c r="E203" s="320" t="s">
        <v>1475</v>
      </c>
      <c r="F203" s="320" t="s">
        <v>1476</v>
      </c>
      <c r="G203" s="320" t="s">
        <v>459</v>
      </c>
      <c r="H203" s="320" t="s">
        <v>1477</v>
      </c>
    </row>
    <row r="204" spans="1:8" x14ac:dyDescent="0.4">
      <c r="A204" s="323" t="str">
        <f t="shared" si="4"/>
        <v>616</v>
      </c>
      <c r="B204" s="320" t="s">
        <v>1478</v>
      </c>
      <c r="C204" s="320" t="s">
        <v>1479</v>
      </c>
      <c r="D204" s="320">
        <v>616</v>
      </c>
      <c r="E204" s="320" t="s">
        <v>1480</v>
      </c>
      <c r="F204" s="320" t="s">
        <v>1481</v>
      </c>
      <c r="G204" s="320" t="s">
        <v>465</v>
      </c>
      <c r="H204" s="320" t="s">
        <v>1482</v>
      </c>
    </row>
    <row r="205" spans="1:8" x14ac:dyDescent="0.4">
      <c r="A205" s="323" t="str">
        <f t="shared" si="4"/>
        <v>070</v>
      </c>
      <c r="B205" s="320" t="s">
        <v>1483</v>
      </c>
      <c r="C205" s="320" t="s">
        <v>1484</v>
      </c>
      <c r="D205" s="320">
        <v>70</v>
      </c>
      <c r="E205" s="320" t="s">
        <v>1485</v>
      </c>
      <c r="F205" s="320" t="s">
        <v>1486</v>
      </c>
      <c r="G205" s="320" t="s">
        <v>465</v>
      </c>
      <c r="H205" s="320" t="s">
        <v>1487</v>
      </c>
    </row>
    <row r="206" spans="1:8" x14ac:dyDescent="0.4">
      <c r="A206" s="323" t="str">
        <f t="shared" si="4"/>
        <v>072</v>
      </c>
      <c r="B206" s="320" t="s">
        <v>1488</v>
      </c>
      <c r="C206" s="320" t="s">
        <v>1489</v>
      </c>
      <c r="D206" s="320">
        <v>72</v>
      </c>
      <c r="E206" s="320" t="s">
        <v>1490</v>
      </c>
      <c r="F206" s="320" t="s">
        <v>1491</v>
      </c>
      <c r="G206" s="320" t="s">
        <v>532</v>
      </c>
      <c r="H206" s="320" t="s">
        <v>1492</v>
      </c>
    </row>
    <row r="207" spans="1:8" x14ac:dyDescent="0.4">
      <c r="A207" s="323" t="str">
        <f t="shared" si="4"/>
        <v>535</v>
      </c>
      <c r="B207" s="320" t="s">
        <v>1493</v>
      </c>
      <c r="C207" s="320" t="s">
        <v>1494</v>
      </c>
      <c r="D207" s="320">
        <v>535</v>
      </c>
      <c r="E207" s="320" t="s">
        <v>1495</v>
      </c>
      <c r="F207" s="320" t="s">
        <v>1496</v>
      </c>
      <c r="G207" s="320" t="s">
        <v>483</v>
      </c>
      <c r="H207" s="320" t="s">
        <v>1497</v>
      </c>
    </row>
    <row r="208" spans="1:8" x14ac:dyDescent="0.4">
      <c r="A208" s="323" t="str">
        <f t="shared" si="4"/>
        <v>068</v>
      </c>
      <c r="B208" s="320" t="s">
        <v>1498</v>
      </c>
      <c r="C208" s="320" t="s">
        <v>1499</v>
      </c>
      <c r="D208" s="320">
        <v>68</v>
      </c>
      <c r="E208" s="320" t="s">
        <v>1500</v>
      </c>
      <c r="F208" s="320" t="s">
        <v>1501</v>
      </c>
      <c r="G208" s="320" t="s">
        <v>506</v>
      </c>
      <c r="H208" s="320" t="s">
        <v>1502</v>
      </c>
    </row>
    <row r="209" spans="1:8" x14ac:dyDescent="0.4">
      <c r="A209" s="323" t="str">
        <f t="shared" si="4"/>
        <v>620</v>
      </c>
      <c r="B209" s="320" t="s">
        <v>1503</v>
      </c>
      <c r="C209" s="320" t="s">
        <v>1504</v>
      </c>
      <c r="D209" s="320">
        <v>620</v>
      </c>
      <c r="E209" s="320" t="s">
        <v>1505</v>
      </c>
      <c r="F209" s="320" t="s">
        <v>1506</v>
      </c>
      <c r="G209" s="320" t="s">
        <v>459</v>
      </c>
      <c r="H209" s="320" t="s">
        <v>1507</v>
      </c>
    </row>
    <row r="210" spans="1:8" x14ac:dyDescent="0.4">
      <c r="A210" s="323" t="str">
        <f t="shared" si="4"/>
        <v>344</v>
      </c>
      <c r="B210" s="320" t="s">
        <v>1508</v>
      </c>
      <c r="C210" s="320" t="s">
        <v>1509</v>
      </c>
      <c r="D210" s="320">
        <v>344</v>
      </c>
      <c r="E210" s="320" t="s">
        <v>1510</v>
      </c>
      <c r="F210" s="320" t="s">
        <v>1511</v>
      </c>
      <c r="G210" s="320" t="s">
        <v>1091</v>
      </c>
      <c r="H210" s="320" t="s">
        <v>1512</v>
      </c>
    </row>
    <row r="211" spans="1:8" x14ac:dyDescent="0.4">
      <c r="A211" s="323" t="str">
        <f t="shared" si="4"/>
        <v>340</v>
      </c>
      <c r="B211" s="320" t="s">
        <v>1513</v>
      </c>
      <c r="C211" s="320" t="s">
        <v>1514</v>
      </c>
      <c r="D211" s="320">
        <v>340</v>
      </c>
      <c r="E211" s="320" t="s">
        <v>1515</v>
      </c>
      <c r="F211" s="320" t="s">
        <v>1516</v>
      </c>
      <c r="G211" s="320" t="s">
        <v>483</v>
      </c>
      <c r="H211" s="320" t="s">
        <v>1517</v>
      </c>
    </row>
    <row r="212" spans="1:8" x14ac:dyDescent="0.4">
      <c r="A212" s="323" t="str">
        <f t="shared" si="4"/>
        <v>584</v>
      </c>
      <c r="B212" s="320" t="s">
        <v>1518</v>
      </c>
      <c r="C212" s="320" t="s">
        <v>1519</v>
      </c>
      <c r="D212" s="320">
        <v>584</v>
      </c>
      <c r="E212" s="320" t="s">
        <v>1520</v>
      </c>
      <c r="F212" s="320" t="s">
        <v>1521</v>
      </c>
      <c r="G212" s="320" t="s">
        <v>489</v>
      </c>
      <c r="H212" s="320" t="s">
        <v>1522</v>
      </c>
    </row>
    <row r="213" spans="1:8" x14ac:dyDescent="0.4">
      <c r="A213" s="323" t="str">
        <f t="shared" si="4"/>
        <v>446</v>
      </c>
      <c r="B213" s="320" t="s">
        <v>1523</v>
      </c>
      <c r="C213" s="320" t="s">
        <v>1524</v>
      </c>
      <c r="D213" s="320">
        <v>446</v>
      </c>
      <c r="E213" s="320" t="s">
        <v>1525</v>
      </c>
      <c r="F213" s="320" t="s">
        <v>1526</v>
      </c>
      <c r="G213" s="320" t="s">
        <v>1091</v>
      </c>
      <c r="H213" s="320" t="s">
        <v>1527</v>
      </c>
    </row>
    <row r="214" spans="1:8" x14ac:dyDescent="0.4">
      <c r="A214" s="323" t="str">
        <f t="shared" si="4"/>
        <v>450</v>
      </c>
      <c r="B214" s="320" t="s">
        <v>1528</v>
      </c>
      <c r="C214" s="320" t="s">
        <v>1529</v>
      </c>
      <c r="D214" s="320">
        <v>450</v>
      </c>
      <c r="E214" s="320" t="s">
        <v>1530</v>
      </c>
      <c r="F214" s="320" t="s">
        <v>1531</v>
      </c>
      <c r="G214" s="320" t="s">
        <v>558</v>
      </c>
      <c r="H214" s="320" t="s">
        <v>1532</v>
      </c>
    </row>
    <row r="215" spans="1:8" x14ac:dyDescent="0.4">
      <c r="A215" s="323" t="str">
        <f t="shared" si="4"/>
        <v>175</v>
      </c>
      <c r="B215" s="320" t="s">
        <v>1533</v>
      </c>
      <c r="C215" s="320" t="s">
        <v>1534</v>
      </c>
      <c r="D215" s="320">
        <v>175</v>
      </c>
      <c r="E215" s="320" t="s">
        <v>1535</v>
      </c>
      <c r="F215" s="320" t="s">
        <v>1536</v>
      </c>
      <c r="G215" s="320" t="s">
        <v>558</v>
      </c>
      <c r="H215" s="320" t="s">
        <v>1537</v>
      </c>
    </row>
    <row r="216" spans="1:8" x14ac:dyDescent="0.4">
      <c r="A216" s="323" t="str">
        <f t="shared" si="4"/>
        <v>454</v>
      </c>
      <c r="B216" s="320" t="s">
        <v>1538</v>
      </c>
      <c r="C216" s="320" t="s">
        <v>1539</v>
      </c>
      <c r="D216" s="320">
        <v>454</v>
      </c>
      <c r="E216" s="320" t="s">
        <v>1540</v>
      </c>
      <c r="F216" s="320" t="s">
        <v>1541</v>
      </c>
      <c r="G216" s="320" t="s">
        <v>532</v>
      </c>
      <c r="H216" s="320" t="s">
        <v>1542</v>
      </c>
    </row>
    <row r="217" spans="1:8" x14ac:dyDescent="0.4">
      <c r="A217" s="323" t="str">
        <f t="shared" si="4"/>
        <v>466</v>
      </c>
      <c r="B217" s="320" t="s">
        <v>1543</v>
      </c>
      <c r="C217" s="320" t="s">
        <v>1544</v>
      </c>
      <c r="D217" s="320">
        <v>466</v>
      </c>
      <c r="E217" s="320" t="s">
        <v>1545</v>
      </c>
      <c r="F217" s="320" t="s">
        <v>1546</v>
      </c>
      <c r="G217" s="320" t="s">
        <v>689</v>
      </c>
      <c r="H217" s="320" t="s">
        <v>1547</v>
      </c>
    </row>
    <row r="218" spans="1:8" x14ac:dyDescent="0.4">
      <c r="A218" s="323" t="str">
        <f t="shared" si="4"/>
        <v>470</v>
      </c>
      <c r="B218" s="320" t="s">
        <v>1548</v>
      </c>
      <c r="C218" s="320" t="s">
        <v>1549</v>
      </c>
      <c r="D218" s="320">
        <v>470</v>
      </c>
      <c r="E218" s="320" t="s">
        <v>1550</v>
      </c>
      <c r="F218" s="320" t="s">
        <v>1551</v>
      </c>
      <c r="G218" s="320" t="s">
        <v>770</v>
      </c>
      <c r="H218" s="320" t="s">
        <v>1552</v>
      </c>
    </row>
    <row r="219" spans="1:8" x14ac:dyDescent="0.4">
      <c r="A219" s="323" t="str">
        <f t="shared" si="4"/>
        <v>474</v>
      </c>
      <c r="B219" s="320" t="s">
        <v>1553</v>
      </c>
      <c r="C219" s="320" t="s">
        <v>1554</v>
      </c>
      <c r="D219" s="320">
        <v>474</v>
      </c>
      <c r="E219" s="320" t="s">
        <v>1555</v>
      </c>
      <c r="F219" s="320" t="s">
        <v>1556</v>
      </c>
      <c r="G219" s="320" t="s">
        <v>483</v>
      </c>
      <c r="H219" s="320" t="s">
        <v>1557</v>
      </c>
    </row>
    <row r="220" spans="1:8" x14ac:dyDescent="0.4">
      <c r="A220" s="323" t="str">
        <f t="shared" si="4"/>
        <v>458</v>
      </c>
      <c r="B220" s="320" t="s">
        <v>1558</v>
      </c>
      <c r="C220" s="320" t="s">
        <v>1559</v>
      </c>
      <c r="D220" s="320">
        <v>458</v>
      </c>
      <c r="E220" s="320" t="s">
        <v>1560</v>
      </c>
      <c r="F220" s="320" t="s">
        <v>1561</v>
      </c>
      <c r="G220" s="320" t="s">
        <v>595</v>
      </c>
      <c r="H220" s="320" t="s">
        <v>1562</v>
      </c>
    </row>
    <row r="221" spans="1:8" x14ac:dyDescent="0.4">
      <c r="A221" s="323" t="str">
        <f t="shared" si="4"/>
        <v>833</v>
      </c>
      <c r="B221" s="320" t="s">
        <v>1563</v>
      </c>
      <c r="C221" s="320" t="s">
        <v>1564</v>
      </c>
      <c r="D221" s="320">
        <v>833</v>
      </c>
      <c r="E221" s="320" t="s">
        <v>1565</v>
      </c>
      <c r="F221" s="320" t="s">
        <v>1566</v>
      </c>
      <c r="G221" s="320" t="s">
        <v>459</v>
      </c>
      <c r="H221" s="320" t="s">
        <v>1567</v>
      </c>
    </row>
    <row r="222" spans="1:8" x14ac:dyDescent="0.4">
      <c r="A222" s="323" t="str">
        <f t="shared" si="4"/>
        <v>583</v>
      </c>
      <c r="B222" s="320" t="s">
        <v>1568</v>
      </c>
      <c r="C222" s="320" t="s">
        <v>1569</v>
      </c>
      <c r="D222" s="320">
        <v>583</v>
      </c>
      <c r="E222" s="320" t="s">
        <v>1570</v>
      </c>
      <c r="F222" s="320" t="s">
        <v>1571</v>
      </c>
      <c r="G222" s="320" t="s">
        <v>489</v>
      </c>
      <c r="H222" s="320" t="s">
        <v>1572</v>
      </c>
    </row>
    <row r="223" spans="1:8" x14ac:dyDescent="0.4">
      <c r="A223" s="323" t="str">
        <f t="shared" si="4"/>
        <v>710</v>
      </c>
      <c r="B223" s="320" t="s">
        <v>532</v>
      </c>
      <c r="C223" s="320" t="s">
        <v>1573</v>
      </c>
      <c r="D223" s="320">
        <v>710</v>
      </c>
      <c r="E223" s="320" t="s">
        <v>1574</v>
      </c>
      <c r="F223" s="320" t="s">
        <v>1575</v>
      </c>
      <c r="G223" s="320" t="s">
        <v>532</v>
      </c>
      <c r="H223" s="320" t="s">
        <v>1576</v>
      </c>
    </row>
    <row r="224" spans="1:8" x14ac:dyDescent="0.4">
      <c r="A224" s="323" t="str">
        <f t="shared" si="4"/>
        <v>728</v>
      </c>
      <c r="B224" s="320" t="s">
        <v>1577</v>
      </c>
      <c r="C224" s="320" t="s">
        <v>1578</v>
      </c>
      <c r="D224" s="320">
        <v>728</v>
      </c>
      <c r="E224" s="320" t="s">
        <v>1579</v>
      </c>
      <c r="F224" s="320" t="s">
        <v>1580</v>
      </c>
      <c r="G224" s="320" t="s">
        <v>648</v>
      </c>
      <c r="H224" s="320" t="s">
        <v>1581</v>
      </c>
    </row>
    <row r="225" spans="1:8" x14ac:dyDescent="0.4">
      <c r="A225" s="323" t="str">
        <f t="shared" si="4"/>
        <v>104</v>
      </c>
      <c r="B225" s="320" t="s">
        <v>1582</v>
      </c>
      <c r="C225" s="320" t="s">
        <v>1583</v>
      </c>
      <c r="D225" s="320">
        <v>104</v>
      </c>
      <c r="E225" s="320" t="s">
        <v>1584</v>
      </c>
      <c r="F225" s="320" t="s">
        <v>1585</v>
      </c>
      <c r="G225" s="320" t="s">
        <v>595</v>
      </c>
      <c r="H225" s="320" t="s">
        <v>1586</v>
      </c>
    </row>
    <row r="226" spans="1:8" x14ac:dyDescent="0.4">
      <c r="A226" s="323" t="str">
        <f t="shared" si="4"/>
        <v>484</v>
      </c>
      <c r="B226" s="320" t="s">
        <v>1587</v>
      </c>
      <c r="C226" s="320" t="s">
        <v>1588</v>
      </c>
      <c r="D226" s="320">
        <v>484</v>
      </c>
      <c r="E226" s="320" t="s">
        <v>1589</v>
      </c>
      <c r="F226" s="320" t="s">
        <v>1590</v>
      </c>
      <c r="G226" s="320" t="s">
        <v>483</v>
      </c>
      <c r="H226" s="320" t="s">
        <v>1591</v>
      </c>
    </row>
    <row r="227" spans="1:8" x14ac:dyDescent="0.4">
      <c r="A227" s="323" t="str">
        <f t="shared" si="4"/>
        <v>480</v>
      </c>
      <c r="B227" s="320" t="s">
        <v>1592</v>
      </c>
      <c r="C227" s="320" t="s">
        <v>1593</v>
      </c>
      <c r="D227" s="320">
        <v>480</v>
      </c>
      <c r="E227" s="320" t="s">
        <v>1594</v>
      </c>
      <c r="F227" s="320" t="s">
        <v>1595</v>
      </c>
      <c r="G227" s="320" t="s">
        <v>532</v>
      </c>
      <c r="H227" s="320" t="s">
        <v>1596</v>
      </c>
    </row>
    <row r="228" spans="1:8" x14ac:dyDescent="0.4">
      <c r="A228" s="323" t="str">
        <f t="shared" si="4"/>
        <v>478</v>
      </c>
      <c r="B228" s="320" t="s">
        <v>1597</v>
      </c>
      <c r="C228" s="320" t="s">
        <v>1598</v>
      </c>
      <c r="D228" s="320">
        <v>478</v>
      </c>
      <c r="E228" s="320" t="s">
        <v>1599</v>
      </c>
      <c r="F228" s="320" t="s">
        <v>1600</v>
      </c>
      <c r="G228" s="320" t="s">
        <v>689</v>
      </c>
      <c r="H228" s="320" t="s">
        <v>1601</v>
      </c>
    </row>
    <row r="229" spans="1:8" x14ac:dyDescent="0.4">
      <c r="A229" s="323" t="str">
        <f t="shared" si="4"/>
        <v>508</v>
      </c>
      <c r="B229" s="320" t="s">
        <v>1602</v>
      </c>
      <c r="C229" s="320" t="s">
        <v>1603</v>
      </c>
      <c r="D229" s="320">
        <v>508</v>
      </c>
      <c r="E229" s="320" t="s">
        <v>1604</v>
      </c>
      <c r="F229" s="320" t="s">
        <v>1605</v>
      </c>
      <c r="G229" s="320" t="s">
        <v>532</v>
      </c>
      <c r="H229" s="320" t="s">
        <v>1606</v>
      </c>
    </row>
    <row r="230" spans="1:8" x14ac:dyDescent="0.4">
      <c r="A230" s="323" t="str">
        <f t="shared" si="4"/>
        <v>492</v>
      </c>
      <c r="B230" s="320" t="s">
        <v>1607</v>
      </c>
      <c r="C230" s="320" t="s">
        <v>1608</v>
      </c>
      <c r="D230" s="320">
        <v>492</v>
      </c>
      <c r="E230" s="320" t="s">
        <v>1609</v>
      </c>
      <c r="F230" s="320" t="s">
        <v>1610</v>
      </c>
      <c r="G230" s="320" t="s">
        <v>459</v>
      </c>
      <c r="H230" s="320" t="s">
        <v>1611</v>
      </c>
    </row>
    <row r="231" spans="1:8" x14ac:dyDescent="0.4">
      <c r="A231" s="323" t="str">
        <f t="shared" si="4"/>
        <v>462</v>
      </c>
      <c r="B231" s="320" t="s">
        <v>1612</v>
      </c>
      <c r="C231" s="320" t="s">
        <v>1613</v>
      </c>
      <c r="D231" s="320">
        <v>462</v>
      </c>
      <c r="E231" s="320" t="s">
        <v>1614</v>
      </c>
      <c r="F231" s="320" t="s">
        <v>1615</v>
      </c>
      <c r="G231" s="320" t="s">
        <v>558</v>
      </c>
      <c r="H231" s="320" t="s">
        <v>1616</v>
      </c>
    </row>
    <row r="232" spans="1:8" x14ac:dyDescent="0.4">
      <c r="A232" s="323" t="str">
        <f t="shared" si="4"/>
        <v>498</v>
      </c>
      <c r="B232" s="320" t="s">
        <v>1617</v>
      </c>
      <c r="C232" s="320" t="s">
        <v>1618</v>
      </c>
      <c r="D232" s="320">
        <v>498</v>
      </c>
      <c r="E232" s="320" t="s">
        <v>1619</v>
      </c>
      <c r="F232" s="320" t="s">
        <v>1620</v>
      </c>
      <c r="G232" s="320" t="s">
        <v>465</v>
      </c>
      <c r="H232" s="320" t="s">
        <v>1621</v>
      </c>
    </row>
    <row r="233" spans="1:8" x14ac:dyDescent="0.4">
      <c r="A233" s="323" t="str">
        <f t="shared" si="4"/>
        <v>504</v>
      </c>
      <c r="B233" s="320" t="s">
        <v>1622</v>
      </c>
      <c r="C233" s="320" t="s">
        <v>1623</v>
      </c>
      <c r="D233" s="320">
        <v>504</v>
      </c>
      <c r="E233" s="320" t="s">
        <v>1624</v>
      </c>
      <c r="F233" s="320" t="s">
        <v>1625</v>
      </c>
      <c r="G233" s="320" t="s">
        <v>500</v>
      </c>
      <c r="H233" s="320" t="s">
        <v>1626</v>
      </c>
    </row>
    <row r="234" spans="1:8" x14ac:dyDescent="0.4">
      <c r="A234" s="323" t="str">
        <f t="shared" si="4"/>
        <v>496</v>
      </c>
      <c r="B234" s="320" t="s">
        <v>1627</v>
      </c>
      <c r="C234" s="320" t="s">
        <v>1628</v>
      </c>
      <c r="D234" s="320">
        <v>496</v>
      </c>
      <c r="E234" s="320" t="s">
        <v>1629</v>
      </c>
      <c r="F234" s="320" t="s">
        <v>1630</v>
      </c>
      <c r="G234" s="320" t="s">
        <v>1091</v>
      </c>
      <c r="H234" s="320" t="s">
        <v>1631</v>
      </c>
    </row>
    <row r="235" spans="1:8" x14ac:dyDescent="0.4">
      <c r="A235" s="323" t="str">
        <f t="shared" si="4"/>
        <v>499</v>
      </c>
      <c r="B235" s="320" t="s">
        <v>1632</v>
      </c>
      <c r="C235" s="320" t="s">
        <v>1633</v>
      </c>
      <c r="D235" s="320">
        <v>499</v>
      </c>
      <c r="E235" s="320" t="s">
        <v>1634</v>
      </c>
      <c r="F235" s="320" t="s">
        <v>1635</v>
      </c>
      <c r="G235" s="320" t="s">
        <v>465</v>
      </c>
      <c r="H235" s="320" t="s">
        <v>1636</v>
      </c>
    </row>
    <row r="236" spans="1:8" x14ac:dyDescent="0.4">
      <c r="A236" s="323" t="str">
        <f t="shared" si="4"/>
        <v>500</v>
      </c>
      <c r="B236" s="320" t="s">
        <v>1637</v>
      </c>
      <c r="C236" s="320" t="s">
        <v>1638</v>
      </c>
      <c r="D236" s="320">
        <v>500</v>
      </c>
      <c r="E236" s="320" t="s">
        <v>1639</v>
      </c>
      <c r="F236" s="320" t="s">
        <v>1640</v>
      </c>
      <c r="G236" s="320" t="s">
        <v>483</v>
      </c>
      <c r="H236" s="320" t="s">
        <v>1641</v>
      </c>
    </row>
    <row r="237" spans="1:8" x14ac:dyDescent="0.4">
      <c r="A237" s="323" t="str">
        <f t="shared" si="4"/>
        <v>400</v>
      </c>
      <c r="B237" s="320" t="s">
        <v>1642</v>
      </c>
      <c r="C237" s="320" t="s">
        <v>1643</v>
      </c>
      <c r="D237" s="320">
        <v>400</v>
      </c>
      <c r="E237" s="320" t="s">
        <v>1644</v>
      </c>
      <c r="F237" s="320" t="s">
        <v>1645</v>
      </c>
      <c r="G237" s="320" t="s">
        <v>471</v>
      </c>
      <c r="H237" s="320" t="s">
        <v>1646</v>
      </c>
    </row>
    <row r="238" spans="1:8" x14ac:dyDescent="0.4">
      <c r="A238" s="323" t="str">
        <f t="shared" si="4"/>
        <v>418</v>
      </c>
      <c r="B238" s="320" t="s">
        <v>1647</v>
      </c>
      <c r="C238" s="320" t="s">
        <v>1648</v>
      </c>
      <c r="D238" s="320">
        <v>418</v>
      </c>
      <c r="E238" s="320" t="s">
        <v>1649</v>
      </c>
      <c r="F238" s="320" t="s">
        <v>1650</v>
      </c>
      <c r="G238" s="320" t="s">
        <v>595</v>
      </c>
      <c r="H238" s="320" t="s">
        <v>1651</v>
      </c>
    </row>
    <row r="239" spans="1:8" x14ac:dyDescent="0.4">
      <c r="A239" s="323" t="str">
        <f t="shared" si="4"/>
        <v>428</v>
      </c>
      <c r="B239" s="320" t="s">
        <v>1652</v>
      </c>
      <c r="C239" s="320" t="s">
        <v>1653</v>
      </c>
      <c r="D239" s="320">
        <v>428</v>
      </c>
      <c r="E239" s="320" t="s">
        <v>1654</v>
      </c>
      <c r="F239" s="320" t="s">
        <v>1655</v>
      </c>
      <c r="G239" s="320" t="s">
        <v>465</v>
      </c>
      <c r="H239" s="320" t="s">
        <v>1656</v>
      </c>
    </row>
    <row r="240" spans="1:8" x14ac:dyDescent="0.4">
      <c r="A240" s="323" t="str">
        <f t="shared" si="4"/>
        <v>440</v>
      </c>
      <c r="B240" s="320" t="s">
        <v>1657</v>
      </c>
      <c r="C240" s="320" t="s">
        <v>1658</v>
      </c>
      <c r="D240" s="320">
        <v>440</v>
      </c>
      <c r="E240" s="320" t="s">
        <v>1659</v>
      </c>
      <c r="F240" s="320" t="s">
        <v>1660</v>
      </c>
      <c r="G240" s="320" t="s">
        <v>465</v>
      </c>
      <c r="H240" s="320" t="s">
        <v>1661</v>
      </c>
    </row>
    <row r="241" spans="1:8" x14ac:dyDescent="0.4">
      <c r="A241" s="323" t="str">
        <f t="shared" si="4"/>
        <v>434</v>
      </c>
      <c r="B241" s="320" t="s">
        <v>1662</v>
      </c>
      <c r="C241" s="320" t="s">
        <v>1663</v>
      </c>
      <c r="D241" s="320">
        <v>434</v>
      </c>
      <c r="E241" s="320" t="s">
        <v>1664</v>
      </c>
      <c r="F241" s="320" t="s">
        <v>1665</v>
      </c>
      <c r="G241" s="320" t="s">
        <v>500</v>
      </c>
      <c r="H241" s="320" t="s">
        <v>1666</v>
      </c>
    </row>
    <row r="242" spans="1:8" x14ac:dyDescent="0.4">
      <c r="A242" s="323" t="str">
        <f t="shared" si="4"/>
        <v>438</v>
      </c>
      <c r="B242" s="320" t="s">
        <v>1667</v>
      </c>
      <c r="C242" s="320" t="s">
        <v>1668</v>
      </c>
      <c r="D242" s="320">
        <v>438</v>
      </c>
      <c r="E242" s="320" t="s">
        <v>1669</v>
      </c>
      <c r="F242" s="320" t="s">
        <v>1670</v>
      </c>
      <c r="G242" s="320" t="s">
        <v>459</v>
      </c>
      <c r="H242" s="320" t="s">
        <v>1671</v>
      </c>
    </row>
    <row r="243" spans="1:8" x14ac:dyDescent="0.4">
      <c r="A243" s="323" t="str">
        <f t="shared" si="4"/>
        <v>430</v>
      </c>
      <c r="B243" s="320" t="s">
        <v>1672</v>
      </c>
      <c r="C243" s="320" t="s">
        <v>1673</v>
      </c>
      <c r="D243" s="320">
        <v>430</v>
      </c>
      <c r="E243" s="320" t="s">
        <v>1674</v>
      </c>
      <c r="F243" s="320" t="s">
        <v>1675</v>
      </c>
      <c r="G243" s="320" t="s">
        <v>689</v>
      </c>
      <c r="H243" s="320" t="s">
        <v>1676</v>
      </c>
    </row>
    <row r="244" spans="1:8" x14ac:dyDescent="0.4">
      <c r="A244" s="323" t="str">
        <f t="shared" si="4"/>
        <v>642</v>
      </c>
      <c r="B244" s="320" t="s">
        <v>1677</v>
      </c>
      <c r="C244" s="320" t="s">
        <v>1678</v>
      </c>
      <c r="D244" s="320">
        <v>642</v>
      </c>
      <c r="E244" s="320" t="s">
        <v>1679</v>
      </c>
      <c r="F244" s="320" t="s">
        <v>1680</v>
      </c>
      <c r="G244" s="320" t="s">
        <v>465</v>
      </c>
      <c r="H244" s="320" t="s">
        <v>1681</v>
      </c>
    </row>
    <row r="245" spans="1:8" x14ac:dyDescent="0.4">
      <c r="A245" s="323" t="str">
        <f t="shared" si="4"/>
        <v>442</v>
      </c>
      <c r="B245" s="320" t="s">
        <v>1682</v>
      </c>
      <c r="C245" s="320" t="s">
        <v>1683</v>
      </c>
      <c r="D245" s="320">
        <v>442</v>
      </c>
      <c r="E245" s="320" t="s">
        <v>1684</v>
      </c>
      <c r="F245" s="320" t="s">
        <v>1685</v>
      </c>
      <c r="G245" s="320" t="s">
        <v>459</v>
      </c>
      <c r="H245" s="320" t="s">
        <v>1686</v>
      </c>
    </row>
    <row r="246" spans="1:8" x14ac:dyDescent="0.4">
      <c r="A246" s="323" t="str">
        <f t="shared" si="4"/>
        <v>646</v>
      </c>
      <c r="B246" s="320" t="s">
        <v>1687</v>
      </c>
      <c r="C246" s="320" t="s">
        <v>1688</v>
      </c>
      <c r="D246" s="320">
        <v>646</v>
      </c>
      <c r="E246" s="320" t="s">
        <v>1689</v>
      </c>
      <c r="F246" s="320" t="s">
        <v>1690</v>
      </c>
      <c r="G246" s="320" t="s">
        <v>606</v>
      </c>
      <c r="H246" s="320" t="s">
        <v>1691</v>
      </c>
    </row>
    <row r="247" spans="1:8" x14ac:dyDescent="0.4">
      <c r="A247" s="323" t="str">
        <f t="shared" si="4"/>
        <v>426</v>
      </c>
      <c r="B247" s="320" t="s">
        <v>1692</v>
      </c>
      <c r="C247" s="320" t="s">
        <v>1693</v>
      </c>
      <c r="D247" s="320">
        <v>426</v>
      </c>
      <c r="E247" s="320" t="s">
        <v>1694</v>
      </c>
      <c r="F247" s="320" t="s">
        <v>1695</v>
      </c>
      <c r="G247" s="320" t="s">
        <v>532</v>
      </c>
      <c r="H247" s="320" t="s">
        <v>1696</v>
      </c>
    </row>
    <row r="248" spans="1:8" x14ac:dyDescent="0.4">
      <c r="A248" s="323" t="str">
        <f t="shared" si="4"/>
        <v>422</v>
      </c>
      <c r="B248" s="320" t="s">
        <v>1697</v>
      </c>
      <c r="C248" s="320" t="s">
        <v>1698</v>
      </c>
      <c r="D248" s="320">
        <v>422</v>
      </c>
      <c r="E248" s="320" t="s">
        <v>1699</v>
      </c>
      <c r="F248" s="320" t="s">
        <v>1700</v>
      </c>
      <c r="G248" s="320" t="s">
        <v>471</v>
      </c>
      <c r="H248" s="320" t="s">
        <v>1701</v>
      </c>
    </row>
    <row r="249" spans="1:8" x14ac:dyDescent="0.4">
      <c r="A249" s="323" t="str">
        <f t="shared" si="4"/>
        <v>638</v>
      </c>
      <c r="B249" s="320" t="s">
        <v>1702</v>
      </c>
      <c r="C249" s="320" t="s">
        <v>1703</v>
      </c>
      <c r="D249" s="320">
        <v>638</v>
      </c>
      <c r="E249" s="320" t="s">
        <v>1704</v>
      </c>
      <c r="F249" s="320" t="s">
        <v>1705</v>
      </c>
      <c r="G249" s="320" t="s">
        <v>558</v>
      </c>
      <c r="H249" s="320" t="s">
        <v>1706</v>
      </c>
    </row>
    <row r="250" spans="1:8" x14ac:dyDescent="0.4">
      <c r="A250" s="323" t="str">
        <f t="shared" si="4"/>
        <v>643</v>
      </c>
      <c r="B250" s="320" t="s">
        <v>1707</v>
      </c>
      <c r="C250" s="320" t="s">
        <v>1708</v>
      </c>
      <c r="D250" s="320">
        <v>643</v>
      </c>
      <c r="E250" s="320" t="s">
        <v>1709</v>
      </c>
      <c r="F250" s="320" t="s">
        <v>1710</v>
      </c>
      <c r="G250" s="320" t="s">
        <v>1711</v>
      </c>
      <c r="H250" s="320" t="s">
        <v>1712</v>
      </c>
    </row>
  </sheetData>
  <sheetProtection algorithmName="SHA-512" hashValue="kHFth9L8ceT6xJA8BYEuUJoTG4ISysvERcZV6D+CNc4PoozAcvBDJhTd6+M9+Kf62Jtg/0oyiR2HB08uW+IQjQ==" saltValue="WUzS+1amlkk4QSfSMAfWGQ==" spinCount="100000" sheet="1" objects="1" scenarios="1" autoFilter="0"/>
  <autoFilter ref="B2:H250"/>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I51"/>
  <sheetViews>
    <sheetView view="pageBreakPreview" zoomScaleNormal="100" zoomScaleSheetLayoutView="100" workbookViewId="0">
      <pane xSplit="4" ySplit="4" topLeftCell="E5" activePane="bottomRight" state="frozen"/>
      <selection activeCell="M20" sqref="M20"/>
      <selection pane="topRight" activeCell="M20" sqref="M20"/>
      <selection pane="bottomLeft" activeCell="M20" sqref="M20"/>
      <selection pane="bottomRight" activeCell="C5" sqref="C5"/>
    </sheetView>
  </sheetViews>
  <sheetFormatPr defaultRowHeight="18.75" x14ac:dyDescent="0.4"/>
  <cols>
    <col min="1" max="1" width="13.625" customWidth="1"/>
    <col min="2" max="2" width="5.25" style="1" bestFit="1" customWidth="1"/>
    <col min="3" max="3" width="33.75" customWidth="1"/>
    <col min="4" max="4" width="10.125" customWidth="1"/>
    <col min="5" max="8" width="6.75" customWidth="1"/>
    <col min="9" max="9" width="25.625" customWidth="1"/>
    <col min="10" max="10" width="9" customWidth="1"/>
  </cols>
  <sheetData>
    <row r="1" spans="1:9" ht="24.75" customHeight="1" x14ac:dyDescent="0.4">
      <c r="A1" s="262" t="str">
        <f>"第"&amp;マスタ!C4&amp;"回 キャロットステークス 競技一覧"</f>
        <v>第44回 キャロットステークス 競技一覧</v>
      </c>
      <c r="B1" s="262"/>
      <c r="C1" s="262"/>
      <c r="D1" s="262"/>
      <c r="E1" s="262"/>
      <c r="F1" s="262"/>
      <c r="G1" s="262"/>
      <c r="H1" s="262"/>
      <c r="I1" s="262"/>
    </row>
    <row r="2" spans="1:9" ht="19.5" thickBot="1" x14ac:dyDescent="0.45">
      <c r="E2" s="415" t="s">
        <v>224</v>
      </c>
      <c r="F2" s="416"/>
      <c r="G2" s="416"/>
      <c r="H2" s="416"/>
      <c r="I2" s="416"/>
    </row>
    <row r="3" spans="1:9" ht="37.5" customHeight="1" x14ac:dyDescent="0.4">
      <c r="A3" s="419" t="s">
        <v>0</v>
      </c>
      <c r="B3" s="421" t="s">
        <v>16</v>
      </c>
      <c r="C3" s="418" t="s">
        <v>15</v>
      </c>
      <c r="D3" s="418" t="s">
        <v>390</v>
      </c>
      <c r="E3" s="417" t="s">
        <v>93</v>
      </c>
      <c r="F3" s="418"/>
      <c r="G3" s="418"/>
      <c r="H3" s="418"/>
      <c r="I3" s="251"/>
    </row>
    <row r="4" spans="1:9" s="1" customFormat="1" ht="33.75" thickBot="1" x14ac:dyDescent="0.45">
      <c r="A4" s="420"/>
      <c r="B4" s="422"/>
      <c r="C4" s="423"/>
      <c r="D4" s="423"/>
      <c r="E4" s="406" t="s">
        <v>5</v>
      </c>
      <c r="F4" s="407" t="s">
        <v>6</v>
      </c>
      <c r="G4" s="405" t="s">
        <v>92</v>
      </c>
      <c r="H4" s="406" t="s">
        <v>14</v>
      </c>
      <c r="I4" s="408" t="s">
        <v>17</v>
      </c>
    </row>
    <row r="5" spans="1:9" x14ac:dyDescent="0.4">
      <c r="A5" s="402" t="str">
        <f>マスタ!K4</f>
        <v>9月29日(金)</v>
      </c>
      <c r="B5" s="409" t="str">
        <f>マスタ!I4</f>
        <v>A</v>
      </c>
      <c r="C5" s="410" t="str">
        <f>マスタ!M4</f>
        <v>フレンドシップ60</v>
      </c>
      <c r="D5" s="410" t="str">
        <f>マスタ!N4</f>
        <v>-</v>
      </c>
      <c r="E5" s="409">
        <f>マスタ!O4</f>
        <v>6000</v>
      </c>
      <c r="F5" s="409">
        <f>マスタ!P4</f>
        <v>5000</v>
      </c>
      <c r="G5" s="409">
        <f>マスタ!Q4</f>
        <v>5000</v>
      </c>
      <c r="H5" s="409" t="str">
        <f>マスタ!R4</f>
        <v>-</v>
      </c>
      <c r="I5" s="411" t="str">
        <f>IF(マスタ!S4&lt;&gt;"",マスタ!S4,"")</f>
        <v/>
      </c>
    </row>
    <row r="6" spans="1:9" x14ac:dyDescent="0.4">
      <c r="A6" s="381" t="str">
        <f>IF(マスタ!K5&lt;&gt;マスタ!K4,マスタ!K5,"")</f>
        <v/>
      </c>
      <c r="B6" s="393" t="str">
        <f>マスタ!I5</f>
        <v>B</v>
      </c>
      <c r="C6" s="394" t="str">
        <f>マスタ!M5</f>
        <v>フレンドシップ80</v>
      </c>
      <c r="D6" s="394" t="str">
        <f>マスタ!N5</f>
        <v>-</v>
      </c>
      <c r="E6" s="393">
        <f>マスタ!O5</f>
        <v>6000</v>
      </c>
      <c r="F6" s="393">
        <f>マスタ!P5</f>
        <v>5000</v>
      </c>
      <c r="G6" s="393">
        <f>マスタ!Q5</f>
        <v>5000</v>
      </c>
      <c r="H6" s="393" t="str">
        <f>マスタ!R5</f>
        <v>-</v>
      </c>
      <c r="I6" s="399" t="str">
        <f>IF(マスタ!S5&lt;&gt;"",マスタ!S5,"")</f>
        <v/>
      </c>
    </row>
    <row r="7" spans="1:9" ht="19.5" thickBot="1" x14ac:dyDescent="0.45">
      <c r="A7" s="290" t="str">
        <f>IF(マスタ!K6&lt;&gt;マスタ!K5,マスタ!K6,"")</f>
        <v/>
      </c>
      <c r="B7" s="395" t="str">
        <f>マスタ!I6</f>
        <v>C</v>
      </c>
      <c r="C7" s="397" t="str">
        <f>マスタ!M6</f>
        <v>フレンドシップ100</v>
      </c>
      <c r="D7" s="397" t="str">
        <f>マスタ!N6</f>
        <v>-</v>
      </c>
      <c r="E7" s="395">
        <f>マスタ!O6</f>
        <v>6000</v>
      </c>
      <c r="F7" s="395">
        <f>マスタ!P6</f>
        <v>5000</v>
      </c>
      <c r="G7" s="395">
        <f>マスタ!Q6</f>
        <v>5000</v>
      </c>
      <c r="H7" s="395" t="str">
        <f>マスタ!R6</f>
        <v>-</v>
      </c>
      <c r="I7" s="398" t="str">
        <f>IF(マスタ!S6&lt;&gt;"",マスタ!S6,"")</f>
        <v/>
      </c>
    </row>
    <row r="8" spans="1:9" x14ac:dyDescent="0.4">
      <c r="A8" s="402" t="str">
        <f>IF(マスタ!K7&lt;&gt;マスタ!K5,マスタ!K7,"")</f>
        <v>9月30日(土)</v>
      </c>
      <c r="B8" s="383">
        <f>マスタ!I7</f>
        <v>1</v>
      </c>
      <c r="C8" s="403" t="str">
        <f>マスタ!M7</f>
        <v>小障害 70cmクラス</v>
      </c>
      <c r="D8" s="403" t="str">
        <f>マスタ!N7</f>
        <v>-</v>
      </c>
      <c r="E8" s="383">
        <f>マスタ!O7</f>
        <v>9000</v>
      </c>
      <c r="F8" s="383">
        <f>マスタ!P7</f>
        <v>7000</v>
      </c>
      <c r="G8" s="383">
        <f>マスタ!Q7</f>
        <v>7000</v>
      </c>
      <c r="H8" s="383">
        <f>マスタ!R7</f>
        <v>7000</v>
      </c>
      <c r="I8" s="404" t="str">
        <f>IF(マスタ!S7&lt;&gt;"",マスタ!S7,"")</f>
        <v/>
      </c>
    </row>
    <row r="9" spans="1:9" x14ac:dyDescent="0.4">
      <c r="A9" s="289" t="str">
        <f>IF(マスタ!K8&lt;&gt;マスタ!K7,マスタ!K8,"")</f>
        <v/>
      </c>
      <c r="B9" s="250">
        <f>マスタ!I8</f>
        <v>2</v>
      </c>
      <c r="C9" s="7" t="str">
        <f>マスタ!M8</f>
        <v>小障害 80cmクラス</v>
      </c>
      <c r="D9" s="18" t="str">
        <f>マスタ!N8</f>
        <v>-</v>
      </c>
      <c r="E9" s="250">
        <f>マスタ!O8</f>
        <v>9000</v>
      </c>
      <c r="F9" s="250">
        <f>マスタ!P8</f>
        <v>7000</v>
      </c>
      <c r="G9" s="250">
        <f>マスタ!Q8</f>
        <v>7000</v>
      </c>
      <c r="H9" s="250">
        <f>マスタ!R8</f>
        <v>7000</v>
      </c>
      <c r="I9" s="21" t="str">
        <f>IF(マスタ!S8&lt;&gt;"",マスタ!S8,"")</f>
        <v/>
      </c>
    </row>
    <row r="10" spans="1:9" x14ac:dyDescent="0.4">
      <c r="A10" s="289" t="str">
        <f>IF(マスタ!K9&lt;&gt;マスタ!K8,マスタ!K9,"")</f>
        <v/>
      </c>
      <c r="B10" s="2">
        <f>マスタ!I9</f>
        <v>3</v>
      </c>
      <c r="C10" s="9" t="str">
        <f>マスタ!M9</f>
        <v>小障害 90cmクラス</v>
      </c>
      <c r="D10" s="9" t="str">
        <f>マスタ!N9</f>
        <v>-</v>
      </c>
      <c r="E10" s="13">
        <f>マスタ!O9</f>
        <v>11000</v>
      </c>
      <c r="F10" s="13">
        <f>マスタ!P9</f>
        <v>9000</v>
      </c>
      <c r="G10" s="13">
        <f>マスタ!Q9</f>
        <v>9000</v>
      </c>
      <c r="H10" s="13">
        <f>マスタ!R9</f>
        <v>9000</v>
      </c>
      <c r="I10" s="10" t="str">
        <f>IF(マスタ!S9&lt;&gt;"",マスタ!S9,"")</f>
        <v/>
      </c>
    </row>
    <row r="11" spans="1:9" x14ac:dyDescent="0.4">
      <c r="A11" s="289" t="str">
        <f>IF(マスタ!K10&lt;&gt;マスタ!K9,マスタ!K10,"")</f>
        <v/>
      </c>
      <c r="B11" s="13">
        <f>マスタ!I10</f>
        <v>4</v>
      </c>
      <c r="C11" s="9" t="str">
        <f>マスタ!M10</f>
        <v>小障害100cmクラス</v>
      </c>
      <c r="D11" s="9" t="str">
        <f>マスタ!N10</f>
        <v>-</v>
      </c>
      <c r="E11" s="13">
        <f>マスタ!O10</f>
        <v>11000</v>
      </c>
      <c r="F11" s="13">
        <f>マスタ!P10</f>
        <v>9000</v>
      </c>
      <c r="G11" s="13">
        <f>マスタ!Q10</f>
        <v>9000</v>
      </c>
      <c r="H11" s="13">
        <f>マスタ!R10</f>
        <v>9000</v>
      </c>
      <c r="I11" s="10" t="str">
        <f>IF(マスタ!S10&lt;&gt;"",マスタ!S10,"")</f>
        <v/>
      </c>
    </row>
    <row r="12" spans="1:9" x14ac:dyDescent="0.4">
      <c r="A12" s="289" t="str">
        <f>IF(マスタ!K11&lt;&gt;マスタ!K10,マスタ!K11,"")</f>
        <v/>
      </c>
      <c r="B12" s="2">
        <f>マスタ!I11</f>
        <v>5</v>
      </c>
      <c r="C12" s="9" t="str">
        <f>マスタ!M11</f>
        <v>中障害D 110cmクラス</v>
      </c>
      <c r="D12" s="9" t="str">
        <f>マスタ!N11</f>
        <v>-</v>
      </c>
      <c r="E12" s="13">
        <f>マスタ!O11</f>
        <v>13000</v>
      </c>
      <c r="F12" s="13">
        <f>マスタ!P11</f>
        <v>11000</v>
      </c>
      <c r="G12" s="13">
        <f>マスタ!Q11</f>
        <v>11000</v>
      </c>
      <c r="H12" s="13">
        <f>マスタ!R11</f>
        <v>11000</v>
      </c>
      <c r="I12" s="10" t="str">
        <f>IF(マスタ!S11&lt;&gt;"",マスタ!S11,"")</f>
        <v/>
      </c>
    </row>
    <row r="13" spans="1:9" x14ac:dyDescent="0.4">
      <c r="A13" s="289" t="str">
        <f>IF(マスタ!K12&lt;&gt;マスタ!K11,マスタ!K12,"")</f>
        <v/>
      </c>
      <c r="B13" s="13">
        <f>マスタ!I12</f>
        <v>6</v>
      </c>
      <c r="C13" s="9" t="str">
        <f>マスタ!M12</f>
        <v>ビギナーズジャンプ</v>
      </c>
      <c r="D13" s="9" t="str">
        <f>マスタ!N12</f>
        <v>-</v>
      </c>
      <c r="E13" s="13">
        <f>マスタ!O12</f>
        <v>7000</v>
      </c>
      <c r="F13" s="13">
        <f>マスタ!P12</f>
        <v>6000</v>
      </c>
      <c r="G13" s="13">
        <f>マスタ!Q12</f>
        <v>6000</v>
      </c>
      <c r="H13" s="13">
        <f>マスタ!R12</f>
        <v>6000</v>
      </c>
      <c r="I13" s="10" t="str">
        <f>IF(マスタ!S12&lt;&gt;"",マスタ!S12,"")</f>
        <v/>
      </c>
    </row>
    <row r="14" spans="1:9" x14ac:dyDescent="0.4">
      <c r="A14" s="289" t="str">
        <f>IF(マスタ!K13&lt;&gt;マスタ!K12,マスタ!K13,"")</f>
        <v/>
      </c>
      <c r="B14" s="2">
        <f>マスタ!I13</f>
        <v>7</v>
      </c>
      <c r="C14" s="9" t="str">
        <f>マスタ!M13</f>
        <v>小障害 60cmクラス</v>
      </c>
      <c r="D14" s="9" t="str">
        <f>マスタ!N13</f>
        <v>-</v>
      </c>
      <c r="E14" s="13">
        <f>マスタ!O13</f>
        <v>7000</v>
      </c>
      <c r="F14" s="13">
        <f>マスタ!P13</f>
        <v>6000</v>
      </c>
      <c r="G14" s="13">
        <f>マスタ!Q13</f>
        <v>6000</v>
      </c>
      <c r="H14" s="13">
        <f>マスタ!R13</f>
        <v>6000</v>
      </c>
      <c r="I14" s="10" t="str">
        <f>IF(マスタ!S13&lt;&gt;"",マスタ!S13,"")</f>
        <v/>
      </c>
    </row>
    <row r="15" spans="1:9" x14ac:dyDescent="0.4">
      <c r="A15" s="289" t="str">
        <f>IF(マスタ!K14&lt;&gt;マスタ!K13,マスタ!K14,"")</f>
        <v/>
      </c>
      <c r="B15" s="13">
        <f>マスタ!I14</f>
        <v>8</v>
      </c>
      <c r="C15" s="9" t="str">
        <f>マスタ!M14</f>
        <v>ジムカーナ</v>
      </c>
      <c r="D15" s="9" t="str">
        <f>マスタ!N14</f>
        <v>一般</v>
      </c>
      <c r="E15" s="13">
        <f>マスタ!O14</f>
        <v>7000</v>
      </c>
      <c r="F15" s="13">
        <f>マスタ!P14</f>
        <v>6000</v>
      </c>
      <c r="G15" s="13">
        <f>マスタ!Q14</f>
        <v>6000</v>
      </c>
      <c r="H15" s="13">
        <f>マスタ!R14</f>
        <v>6000</v>
      </c>
      <c r="I15" s="10" t="str">
        <f>IF(マスタ!S14&lt;&gt;"",マスタ!S14,"")</f>
        <v/>
      </c>
    </row>
    <row r="16" spans="1:9" x14ac:dyDescent="0.4">
      <c r="A16" s="289" t="str">
        <f>IF(マスタ!K15&lt;&gt;マスタ!K14,マスタ!K15,"")</f>
        <v/>
      </c>
      <c r="B16" s="249">
        <f>マスタ!I15</f>
        <v>8</v>
      </c>
      <c r="C16" s="9" t="str">
        <f>マスタ!M15</f>
        <v>ジムカーナ</v>
      </c>
      <c r="D16" s="9" t="str">
        <f>マスタ!N15</f>
        <v>チルドレン</v>
      </c>
      <c r="E16" s="13" t="str">
        <f>マスタ!O15</f>
        <v>-</v>
      </c>
      <c r="F16" s="13" t="str">
        <f>マスタ!P15</f>
        <v>-</v>
      </c>
      <c r="G16" s="13">
        <f>マスタ!Q15</f>
        <v>6000</v>
      </c>
      <c r="H16" s="13" t="str">
        <f>マスタ!R15</f>
        <v>-</v>
      </c>
      <c r="I16" s="10" t="str">
        <f>IF(マスタ!S15&lt;&gt;"",マスタ!S15,"")</f>
        <v>中学生以下</v>
      </c>
    </row>
    <row r="17" spans="1:9" x14ac:dyDescent="0.4">
      <c r="A17" s="289" t="str">
        <f>IF(マスタ!K16&lt;&gt;マスタ!K15,マスタ!K16,"")</f>
        <v/>
      </c>
      <c r="B17" s="13">
        <f>マスタ!I16</f>
        <v>9</v>
      </c>
      <c r="C17" s="9" t="str">
        <f>マスタ!M16</f>
        <v>第2課目C馬場馬術競技</v>
      </c>
      <c r="D17" s="9" t="str">
        <f>マスタ!N16</f>
        <v>-</v>
      </c>
      <c r="E17" s="13">
        <f>マスタ!O16</f>
        <v>10000</v>
      </c>
      <c r="F17" s="13">
        <f>マスタ!P16</f>
        <v>8000</v>
      </c>
      <c r="G17" s="13">
        <f>マスタ!Q16</f>
        <v>8000</v>
      </c>
      <c r="H17" s="13">
        <f>マスタ!R16</f>
        <v>8000</v>
      </c>
      <c r="I17" s="10" t="str">
        <f>IF(マスタ!S16&lt;&gt;"",マスタ!S16,"")</f>
        <v/>
      </c>
    </row>
    <row r="18" spans="1:9" x14ac:dyDescent="0.4">
      <c r="A18" s="289" t="str">
        <f>IF(マスタ!K17&lt;&gt;マスタ!K16,マスタ!K17,"")</f>
        <v/>
      </c>
      <c r="B18" s="2">
        <f>マスタ!I17</f>
        <v>10</v>
      </c>
      <c r="C18" s="17" t="str">
        <f>マスタ!M17</f>
        <v>第2課目B馬場馬術競技</v>
      </c>
      <c r="D18" s="9" t="str">
        <f>マスタ!N17</f>
        <v>-</v>
      </c>
      <c r="E18" s="13">
        <f>マスタ!O17</f>
        <v>10000</v>
      </c>
      <c r="F18" s="13">
        <f>マスタ!P17</f>
        <v>8000</v>
      </c>
      <c r="G18" s="13">
        <f>マスタ!Q17</f>
        <v>8000</v>
      </c>
      <c r="H18" s="13">
        <f>マスタ!R17</f>
        <v>8000</v>
      </c>
      <c r="I18" s="10" t="str">
        <f>IF(マスタ!S17&lt;&gt;"",マスタ!S17,"")</f>
        <v/>
      </c>
    </row>
    <row r="19" spans="1:9" x14ac:dyDescent="0.4">
      <c r="A19" s="289" t="str">
        <f>IF(マスタ!K18&lt;&gt;マスタ!K17,マスタ!K18,"")</f>
        <v/>
      </c>
      <c r="B19" s="13">
        <f>マスタ!I18</f>
        <v>11</v>
      </c>
      <c r="C19" s="17" t="str">
        <f>マスタ!M18</f>
        <v>第2課目A馬場馬術競技</v>
      </c>
      <c r="D19" s="9" t="str">
        <f>マスタ!N18</f>
        <v>-</v>
      </c>
      <c r="E19" s="13">
        <f>マスタ!O18</f>
        <v>10000</v>
      </c>
      <c r="F19" s="13">
        <f>マスタ!P18</f>
        <v>8000</v>
      </c>
      <c r="G19" s="13">
        <f>マスタ!Q18</f>
        <v>8000</v>
      </c>
      <c r="H19" s="13">
        <f>マスタ!R18</f>
        <v>8000</v>
      </c>
      <c r="I19" s="10" t="str">
        <f>IF(マスタ!S18&lt;&gt;"",マスタ!S18,"")</f>
        <v/>
      </c>
    </row>
    <row r="20" spans="1:9" x14ac:dyDescent="0.4">
      <c r="A20" s="289" t="str">
        <f>IF(マスタ!K19&lt;&gt;マスタ!K18,マスタ!K19,"")</f>
        <v/>
      </c>
      <c r="B20" s="2">
        <f>マスタ!I19</f>
        <v>12</v>
      </c>
      <c r="C20" s="17" t="str">
        <f>マスタ!M19</f>
        <v>第3課目A馬術競技</v>
      </c>
      <c r="D20" s="9" t="str">
        <f>マスタ!N19</f>
        <v>公認</v>
      </c>
      <c r="E20" s="13">
        <f>マスタ!O19</f>
        <v>14000</v>
      </c>
      <c r="F20" s="13" t="str">
        <f>マスタ!P19</f>
        <v>-</v>
      </c>
      <c r="G20" s="13" t="str">
        <f>マスタ!Q19</f>
        <v>-</v>
      </c>
      <c r="H20" s="13" t="str">
        <f>マスタ!R19</f>
        <v>-</v>
      </c>
      <c r="I20" s="10" t="str">
        <f>IF(マスタ!S19&lt;&gt;"",マスタ!S19,"")</f>
        <v/>
      </c>
    </row>
    <row r="21" spans="1:9" x14ac:dyDescent="0.4">
      <c r="A21" s="289" t="str">
        <f>IF(マスタ!K20&lt;&gt;マスタ!K19,マスタ!K20,"")</f>
        <v/>
      </c>
      <c r="B21" s="13">
        <f>マスタ!I20</f>
        <v>13</v>
      </c>
      <c r="C21" s="17" t="str">
        <f>マスタ!M20</f>
        <v>第4課目A馬術競技</v>
      </c>
      <c r="D21" s="9" t="str">
        <f>マスタ!N20</f>
        <v>公認</v>
      </c>
      <c r="E21" s="13">
        <f>マスタ!O20</f>
        <v>14000</v>
      </c>
      <c r="F21" s="13" t="str">
        <f>マスタ!P20</f>
        <v>-</v>
      </c>
      <c r="G21" s="13" t="str">
        <f>マスタ!Q20</f>
        <v>-</v>
      </c>
      <c r="H21" s="13" t="str">
        <f>マスタ!R20</f>
        <v>-</v>
      </c>
      <c r="I21" s="10" t="str">
        <f>IF(マスタ!S20&lt;&gt;"",マスタ!S20,"")</f>
        <v/>
      </c>
    </row>
    <row r="22" spans="1:9" x14ac:dyDescent="0.4">
      <c r="A22" s="289" t="str">
        <f>IF(マスタ!K21&lt;&gt;マスタ!K20,マスタ!K21,"")</f>
        <v/>
      </c>
      <c r="B22" s="13">
        <f>マスタ!I21</f>
        <v>14</v>
      </c>
      <c r="C22" s="17" t="str">
        <f>マスタ!M21</f>
        <v>第5課目A馬場馬術競技</v>
      </c>
      <c r="D22" s="9" t="str">
        <f>マスタ!N21</f>
        <v>公認</v>
      </c>
      <c r="E22" s="13">
        <f>マスタ!O21</f>
        <v>14000</v>
      </c>
      <c r="F22" s="13" t="str">
        <f>マスタ!P21</f>
        <v>-</v>
      </c>
      <c r="G22" s="13" t="str">
        <f>マスタ!Q21</f>
        <v>-</v>
      </c>
      <c r="H22" s="13" t="str">
        <f>マスタ!R21</f>
        <v>-</v>
      </c>
      <c r="I22" s="10" t="str">
        <f>IF(マスタ!S21&lt;&gt;"",マスタ!S21,"")</f>
        <v/>
      </c>
    </row>
    <row r="23" spans="1:9" x14ac:dyDescent="0.4">
      <c r="A23" s="289" t="str">
        <f>IF(マスタ!K22&lt;&gt;マスタ!K21,マスタ!K22,"")</f>
        <v/>
      </c>
      <c r="B23" s="13">
        <f>マスタ!I22</f>
        <v>15</v>
      </c>
      <c r="C23" s="9" t="str">
        <f>マスタ!M22</f>
        <v>JBG キャロット選手権(馬場)</v>
      </c>
      <c r="D23" s="9" t="str">
        <f>マスタ!N22</f>
        <v>-</v>
      </c>
      <c r="E23" s="13" t="str">
        <f>マスタ!O22</f>
        <v>-</v>
      </c>
      <c r="F23" s="13">
        <f>マスタ!P22</f>
        <v>12000</v>
      </c>
      <c r="G23" s="13" t="str">
        <f>マスタ!Q22</f>
        <v>-</v>
      </c>
      <c r="H23" s="13" t="str">
        <f>マスタ!R22</f>
        <v>-</v>
      </c>
      <c r="I23" s="10" t="str">
        <f>IF(マスタ!S22&lt;&gt;"",マスタ!S22,"")</f>
        <v>第３課目A、社馬連会員のみ</v>
      </c>
    </row>
    <row r="24" spans="1:9" x14ac:dyDescent="0.4">
      <c r="A24" s="289" t="str">
        <f>IF(マスタ!K23&lt;&gt;マスタ!K22,マスタ!K23,"")</f>
        <v/>
      </c>
      <c r="B24" s="13">
        <f>マスタ!I23</f>
        <v>16</v>
      </c>
      <c r="C24" s="9" t="str">
        <f>マスタ!M23</f>
        <v>第3課目A馬場馬術競技</v>
      </c>
      <c r="D24" s="9" t="str">
        <f>マスタ!N23</f>
        <v>-</v>
      </c>
      <c r="E24" s="13">
        <f>マスタ!O23</f>
        <v>12000</v>
      </c>
      <c r="F24" s="13">
        <f>マスタ!P23</f>
        <v>10000</v>
      </c>
      <c r="G24" s="13">
        <f>マスタ!Q23</f>
        <v>10000</v>
      </c>
      <c r="H24" s="13">
        <f>マスタ!R23</f>
        <v>10000</v>
      </c>
      <c r="I24" s="10" t="str">
        <f>IF(マスタ!S23&lt;&gt;"",マスタ!S23,"")</f>
        <v/>
      </c>
    </row>
    <row r="25" spans="1:9" ht="19.5" thickBot="1" x14ac:dyDescent="0.45">
      <c r="A25" s="290" t="str">
        <f>IF(マスタ!K24&lt;&gt;マスタ!K23,マスタ!K24,"")</f>
        <v/>
      </c>
      <c r="B25" s="395">
        <f>マスタ!I24</f>
        <v>17</v>
      </c>
      <c r="C25" s="22" t="str">
        <f>マスタ!M24</f>
        <v>自由選択課目</v>
      </c>
      <c r="D25" s="11" t="str">
        <f>マスタ!N24</f>
        <v>-</v>
      </c>
      <c r="E25" s="14">
        <f>マスタ!O24</f>
        <v>12000</v>
      </c>
      <c r="F25" s="14">
        <f>マスタ!P24</f>
        <v>10000</v>
      </c>
      <c r="G25" s="14">
        <f>マスタ!Q24</f>
        <v>10000</v>
      </c>
      <c r="H25" s="14">
        <f>マスタ!R24</f>
        <v>10000</v>
      </c>
      <c r="I25" s="12" t="str">
        <f>IF(マスタ!S24&lt;&gt;"",マスタ!S24,"")</f>
        <v/>
      </c>
    </row>
    <row r="26" spans="1:9" x14ac:dyDescent="0.4">
      <c r="A26" s="400" t="str">
        <f>IF(マスタ!K25&lt;&gt;マスタ!K24,マスタ!K25,"")</f>
        <v>10月1日(日)</v>
      </c>
      <c r="B26" s="401">
        <f>マスタ!I25</f>
        <v>18</v>
      </c>
      <c r="C26" s="190" t="str">
        <f>マスタ!M25</f>
        <v>ジムカーナ競技</v>
      </c>
      <c r="D26" s="190" t="str">
        <f>マスタ!N25</f>
        <v>一般</v>
      </c>
      <c r="E26" s="401">
        <f>マスタ!O25</f>
        <v>7000</v>
      </c>
      <c r="F26" s="401">
        <f>マスタ!P25</f>
        <v>6000</v>
      </c>
      <c r="G26" s="401">
        <f>マスタ!Q25</f>
        <v>6000</v>
      </c>
      <c r="H26" s="401">
        <f>マスタ!R25</f>
        <v>6000</v>
      </c>
      <c r="I26" s="191" t="str">
        <f>IF(マスタ!S25&lt;&gt;"",マスタ!S25,"")</f>
        <v/>
      </c>
    </row>
    <row r="27" spans="1:9" x14ac:dyDescent="0.4">
      <c r="A27" s="288" t="str">
        <f>IF(マスタ!K26&lt;&gt;マスタ!K25,マスタ!K26,"")</f>
        <v/>
      </c>
      <c r="B27" s="4">
        <f>マスタ!I26</f>
        <v>18</v>
      </c>
      <c r="C27" s="5" t="str">
        <f>マスタ!M26</f>
        <v>ジムカーナ競技</v>
      </c>
      <c r="D27" s="5" t="str">
        <f>マスタ!N26</f>
        <v>チルドレン</v>
      </c>
      <c r="E27" s="4" t="str">
        <f>マスタ!O26</f>
        <v>-</v>
      </c>
      <c r="F27" s="4" t="str">
        <f>マスタ!P26</f>
        <v>-</v>
      </c>
      <c r="G27" s="4">
        <f>マスタ!Q26</f>
        <v>6000</v>
      </c>
      <c r="H27" s="4" t="str">
        <f>マスタ!R26</f>
        <v>-</v>
      </c>
      <c r="I27" s="269" t="str">
        <f>IF(マスタ!S26&lt;&gt;"",マスタ!S26,"")</f>
        <v>中学生以下</v>
      </c>
    </row>
    <row r="28" spans="1:9" x14ac:dyDescent="0.4">
      <c r="A28" s="289" t="str">
        <f>IF(マスタ!K27&lt;&gt;マスタ!K26,マスタ!K27,"")</f>
        <v/>
      </c>
      <c r="B28" s="250">
        <f>マスタ!I27</f>
        <v>19</v>
      </c>
      <c r="C28" s="7" t="str">
        <f>マスタ!M27</f>
        <v>ビギナーズジャンプ</v>
      </c>
      <c r="D28" s="18" t="str">
        <f>マスタ!N27</f>
        <v>-</v>
      </c>
      <c r="E28" s="250">
        <f>マスタ!O27</f>
        <v>7000</v>
      </c>
      <c r="F28" s="250">
        <f>マスタ!P27</f>
        <v>6000</v>
      </c>
      <c r="G28" s="250">
        <f>マスタ!Q27</f>
        <v>6000</v>
      </c>
      <c r="H28" s="250">
        <f>マスタ!R27</f>
        <v>6000</v>
      </c>
      <c r="I28" s="8" t="str">
        <f>IF(マスタ!S27&lt;&gt;"",マスタ!S27,"")</f>
        <v/>
      </c>
    </row>
    <row r="29" spans="1:9" x14ac:dyDescent="0.4">
      <c r="A29" s="289" t="str">
        <f>IF(マスタ!K28&lt;&gt;マスタ!K27,マスタ!K28,"")</f>
        <v/>
      </c>
      <c r="B29" s="13">
        <f>マスタ!I28</f>
        <v>20</v>
      </c>
      <c r="C29" s="9" t="str">
        <f>マスタ!M28</f>
        <v>小障害 60cmクラス</v>
      </c>
      <c r="D29" s="252" t="str">
        <f>マスタ!N28</f>
        <v>-</v>
      </c>
      <c r="E29" s="13">
        <f>マスタ!O28</f>
        <v>7000</v>
      </c>
      <c r="F29" s="13">
        <f>マスタ!P28</f>
        <v>6000</v>
      </c>
      <c r="G29" s="13">
        <f>マスタ!Q28</f>
        <v>6000</v>
      </c>
      <c r="H29" s="13">
        <f>マスタ!R28</f>
        <v>6000</v>
      </c>
      <c r="I29" s="25" t="str">
        <f>IF(マスタ!S28&lt;&gt;"",マスタ!S28,"")</f>
        <v/>
      </c>
    </row>
    <row r="30" spans="1:9" x14ac:dyDescent="0.4">
      <c r="A30" s="289" t="str">
        <f>IF(マスタ!K29&lt;&gt;マスタ!K28,マスタ!K29,"")</f>
        <v/>
      </c>
      <c r="B30" s="13">
        <f>マスタ!I29</f>
        <v>21</v>
      </c>
      <c r="C30" s="9" t="str">
        <f>マスタ!M29</f>
        <v>小障害 70cmクラス</v>
      </c>
      <c r="D30" s="9" t="str">
        <f>マスタ!N29</f>
        <v>-</v>
      </c>
      <c r="E30" s="13">
        <f>マスタ!O29</f>
        <v>9000</v>
      </c>
      <c r="F30" s="13">
        <f>マスタ!P29</f>
        <v>7000</v>
      </c>
      <c r="G30" s="13">
        <f>マスタ!Q29</f>
        <v>7000</v>
      </c>
      <c r="H30" s="13">
        <f>マスタ!R29</f>
        <v>7000</v>
      </c>
      <c r="I30" s="10" t="str">
        <f>IF(マスタ!S29&lt;&gt;"",マスタ!S29,"")</f>
        <v/>
      </c>
    </row>
    <row r="31" spans="1:9" x14ac:dyDescent="0.4">
      <c r="A31" s="289" t="str">
        <f>IF(マスタ!K30&lt;&gt;マスタ!K29,マスタ!K30,"")</f>
        <v/>
      </c>
      <c r="B31" s="13">
        <f>マスタ!I30</f>
        <v>22</v>
      </c>
      <c r="C31" s="9" t="str">
        <f>マスタ!M30</f>
        <v>小障害 80cmクラス</v>
      </c>
      <c r="D31" s="9" t="str">
        <f>マスタ!N30</f>
        <v>-</v>
      </c>
      <c r="E31" s="13">
        <f>マスタ!O30</f>
        <v>9000</v>
      </c>
      <c r="F31" s="13">
        <f>マスタ!P30</f>
        <v>7000</v>
      </c>
      <c r="G31" s="13">
        <f>マスタ!Q30</f>
        <v>7000</v>
      </c>
      <c r="H31" s="13">
        <f>マスタ!R30</f>
        <v>7000</v>
      </c>
      <c r="I31" s="10" t="str">
        <f>IF(マスタ!S30&lt;&gt;"",マスタ!S30,"")</f>
        <v/>
      </c>
    </row>
    <row r="32" spans="1:9" x14ac:dyDescent="0.4">
      <c r="A32" s="289" t="str">
        <f>IF(マスタ!K31&lt;&gt;マスタ!K30,マスタ!K31,"")</f>
        <v/>
      </c>
      <c r="B32" s="13">
        <f>マスタ!I31</f>
        <v>23</v>
      </c>
      <c r="C32" s="9" t="str">
        <f>マスタ!M31</f>
        <v>馬旅賞　引退競走馬杯 (障害)</v>
      </c>
      <c r="D32" s="9" t="str">
        <f>マスタ!N31</f>
        <v>-</v>
      </c>
      <c r="E32" s="13">
        <f>マスタ!O31</f>
        <v>10000</v>
      </c>
      <c r="F32" s="13" t="str">
        <f>マスタ!P31</f>
        <v>-</v>
      </c>
      <c r="G32" s="13" t="str">
        <f>マスタ!Q31</f>
        <v>-</v>
      </c>
      <c r="H32" s="13">
        <f>マスタ!R31</f>
        <v>8000</v>
      </c>
      <c r="I32" s="10" t="str">
        <f>IF(マスタ!S31&lt;&gt;"",マスタ!S31,"")</f>
        <v/>
      </c>
    </row>
    <row r="33" spans="1:9" x14ac:dyDescent="0.4">
      <c r="A33" s="289" t="str">
        <f>IF(マスタ!K32&lt;&gt;マスタ!K31,マスタ!K32,"")</f>
        <v/>
      </c>
      <c r="B33" s="13">
        <f>マスタ!I32</f>
        <v>24</v>
      </c>
      <c r="C33" s="9" t="str">
        <f>マスタ!M32</f>
        <v>小障害 90cmクラス</v>
      </c>
      <c r="D33" s="9" t="str">
        <f>マスタ!N32</f>
        <v>-</v>
      </c>
      <c r="E33" s="13">
        <f>マスタ!O32</f>
        <v>11000</v>
      </c>
      <c r="F33" s="13">
        <f>マスタ!P32</f>
        <v>9000</v>
      </c>
      <c r="G33" s="13">
        <f>マスタ!Q32</f>
        <v>9000</v>
      </c>
      <c r="H33" s="13">
        <f>マスタ!R32</f>
        <v>9000</v>
      </c>
      <c r="I33" s="10" t="str">
        <f>IF(マスタ!S32&lt;&gt;"",マスタ!S32,"")</f>
        <v/>
      </c>
    </row>
    <row r="34" spans="1:9" x14ac:dyDescent="0.4">
      <c r="A34" s="289" t="str">
        <f>IF(マスタ!K33&lt;&gt;マスタ!K32,マスタ!K33,"")</f>
        <v/>
      </c>
      <c r="B34" s="13">
        <f>マスタ!I33</f>
        <v>25</v>
      </c>
      <c r="C34" s="9" t="str">
        <f>マスタ!M33</f>
        <v>小障害100cmクラス</v>
      </c>
      <c r="D34" s="9" t="str">
        <f>マスタ!N33</f>
        <v>-</v>
      </c>
      <c r="E34" s="13">
        <f>マスタ!O33</f>
        <v>11000</v>
      </c>
      <c r="F34" s="13">
        <f>マスタ!P33</f>
        <v>9000</v>
      </c>
      <c r="G34" s="13">
        <f>マスタ!Q33</f>
        <v>9000</v>
      </c>
      <c r="H34" s="13">
        <f>マスタ!R33</f>
        <v>9000</v>
      </c>
      <c r="I34" s="10" t="str">
        <f>IF(マスタ!S33&lt;&gt;"",マスタ!S33,"")</f>
        <v/>
      </c>
    </row>
    <row r="35" spans="1:9" x14ac:dyDescent="0.4">
      <c r="A35" s="289" t="str">
        <f>IF(マスタ!K34&lt;&gt;マスタ!K33,マスタ!K34,"")</f>
        <v/>
      </c>
      <c r="B35" s="13">
        <f>マスタ!I34</f>
        <v>26</v>
      </c>
      <c r="C35" s="9" t="str">
        <f>マスタ!M34</f>
        <v>中障害D 110cmクラス</v>
      </c>
      <c r="D35" s="9" t="str">
        <f>マスタ!N34</f>
        <v>-</v>
      </c>
      <c r="E35" s="13">
        <f>マスタ!O34</f>
        <v>13000</v>
      </c>
      <c r="F35" s="13">
        <f>マスタ!P34</f>
        <v>11000</v>
      </c>
      <c r="G35" s="13">
        <f>マスタ!Q34</f>
        <v>11000</v>
      </c>
      <c r="H35" s="13">
        <f>マスタ!R34</f>
        <v>11000</v>
      </c>
      <c r="I35" s="10" t="str">
        <f>IF(マスタ!S34&lt;&gt;"",マスタ!S34,"")</f>
        <v/>
      </c>
    </row>
    <row r="36" spans="1:9" x14ac:dyDescent="0.4">
      <c r="A36" s="289" t="str">
        <f>IF(マスタ!K35&lt;&gt;マスタ!K34,マスタ!K35,"")</f>
        <v/>
      </c>
      <c r="B36" s="13">
        <f>マスタ!I35</f>
        <v>27</v>
      </c>
      <c r="C36" s="9" t="str">
        <f>マスタ!M35</f>
        <v>JBG キャロット選手権 (障害)</v>
      </c>
      <c r="D36" s="9" t="str">
        <f>マスタ!N35</f>
        <v>-</v>
      </c>
      <c r="E36" s="13" t="str">
        <f>マスタ!O35</f>
        <v>-</v>
      </c>
      <c r="F36" s="13">
        <f>マスタ!P35</f>
        <v>11000</v>
      </c>
      <c r="G36" s="13" t="str">
        <f>マスタ!Q35</f>
        <v>-</v>
      </c>
      <c r="H36" s="13" t="str">
        <f>マスタ!R35</f>
        <v>-</v>
      </c>
      <c r="I36" s="10" t="str">
        <f>IF(マスタ!S35&lt;&gt;"",マスタ!S35,"")</f>
        <v>100cm、社馬連会員のみ</v>
      </c>
    </row>
    <row r="37" spans="1:9" x14ac:dyDescent="0.4">
      <c r="A37" s="289" t="str">
        <f>IF(マスタ!K36&lt;&gt;マスタ!K35,マスタ!K36,"")</f>
        <v/>
      </c>
      <c r="B37" s="13">
        <f>マスタ!I36</f>
        <v>28</v>
      </c>
      <c r="C37" s="9" t="str">
        <f>マスタ!M36</f>
        <v>第2課目A馬場馬術競技</v>
      </c>
      <c r="D37" s="9" t="str">
        <f>マスタ!N36</f>
        <v>-</v>
      </c>
      <c r="E37" s="13">
        <f>マスタ!O36</f>
        <v>10000</v>
      </c>
      <c r="F37" s="13">
        <f>マスタ!P36</f>
        <v>8000</v>
      </c>
      <c r="G37" s="13">
        <f>マスタ!Q36</f>
        <v>8000</v>
      </c>
      <c r="H37" s="13">
        <f>マスタ!R36</f>
        <v>8000</v>
      </c>
      <c r="I37" s="10" t="str">
        <f>IF(マスタ!S36&lt;&gt;"",マスタ!S36,"")</f>
        <v/>
      </c>
    </row>
    <row r="38" spans="1:9" x14ac:dyDescent="0.4">
      <c r="A38" s="289" t="str">
        <f>IF(マスタ!K37&lt;&gt;マスタ!K36,マスタ!K37,"")</f>
        <v/>
      </c>
      <c r="B38" s="13">
        <f>マスタ!I37</f>
        <v>29</v>
      </c>
      <c r="C38" s="9" t="str">
        <f>マスタ!M37</f>
        <v>第2課目B馬場馬術競技</v>
      </c>
      <c r="D38" s="9" t="str">
        <f>マスタ!N37</f>
        <v>-</v>
      </c>
      <c r="E38" s="13">
        <f>マスタ!O37</f>
        <v>10000</v>
      </c>
      <c r="F38" s="13">
        <f>マスタ!P37</f>
        <v>8000</v>
      </c>
      <c r="G38" s="13">
        <f>マスタ!Q37</f>
        <v>8000</v>
      </c>
      <c r="H38" s="13">
        <f>マスタ!R37</f>
        <v>8000</v>
      </c>
      <c r="I38" s="25" t="str">
        <f>IF(マスタ!S37&lt;&gt;"",マスタ!S37,"")</f>
        <v/>
      </c>
    </row>
    <row r="39" spans="1:9" x14ac:dyDescent="0.4">
      <c r="A39" s="289" t="str">
        <f>IF(マスタ!K38&lt;&gt;マスタ!K37,マスタ!K38,"")</f>
        <v/>
      </c>
      <c r="B39" s="4">
        <f>マスタ!I38</f>
        <v>30</v>
      </c>
      <c r="C39" s="15" t="str">
        <f>マスタ!M38</f>
        <v>第2課目C馬場馬術競技</v>
      </c>
      <c r="D39" s="5" t="str">
        <f>マスタ!N38</f>
        <v>-</v>
      </c>
      <c r="E39" s="4">
        <f>マスタ!O38</f>
        <v>10000</v>
      </c>
      <c r="F39" s="4">
        <f>マスタ!P38</f>
        <v>8000</v>
      </c>
      <c r="G39" s="4">
        <f>マスタ!Q38</f>
        <v>8000</v>
      </c>
      <c r="H39" s="4">
        <f>マスタ!R38</f>
        <v>8000</v>
      </c>
      <c r="I39" s="6" t="str">
        <f>IF(マスタ!S38&lt;&gt;"",マスタ!S38,"")</f>
        <v/>
      </c>
    </row>
    <row r="40" spans="1:9" x14ac:dyDescent="0.4">
      <c r="A40" s="289" t="str">
        <f>IF(マスタ!K39&lt;&gt;マスタ!K38,マスタ!K39,"")</f>
        <v/>
      </c>
      <c r="B40" s="250">
        <f>マスタ!I39</f>
        <v>31</v>
      </c>
      <c r="C40" s="16" t="str">
        <f>マスタ!M39</f>
        <v>引退競走馬杯 (馬場)</v>
      </c>
      <c r="D40" s="18" t="str">
        <f>マスタ!N39</f>
        <v>-</v>
      </c>
      <c r="E40" s="250">
        <f>マスタ!O39</f>
        <v>10000</v>
      </c>
      <c r="F40" s="250" t="str">
        <f>マスタ!P39</f>
        <v>-</v>
      </c>
      <c r="G40" s="250" t="str">
        <f>マスタ!Q39</f>
        <v>-</v>
      </c>
      <c r="H40" s="250">
        <f>マスタ!R39</f>
        <v>8000</v>
      </c>
      <c r="I40" s="21" t="str">
        <f>IF(マスタ!S39&lt;&gt;"",マスタ!S39,"")</f>
        <v/>
      </c>
    </row>
    <row r="41" spans="1:9" x14ac:dyDescent="0.4">
      <c r="A41" s="289" t="str">
        <f>IF(マスタ!K40&lt;&gt;マスタ!K39,マスタ!K40,"")</f>
        <v/>
      </c>
      <c r="B41" s="4">
        <f>マスタ!I40</f>
        <v>32</v>
      </c>
      <c r="C41" s="19" t="str">
        <f>マスタ!M40</f>
        <v>第3課目B馬場馬術競技</v>
      </c>
      <c r="D41" s="5" t="str">
        <f>マスタ!N40</f>
        <v>公認</v>
      </c>
      <c r="E41" s="4">
        <f>マスタ!O40</f>
        <v>14000</v>
      </c>
      <c r="F41" s="4" t="str">
        <f>マスタ!P40</f>
        <v>-</v>
      </c>
      <c r="G41" s="4" t="str">
        <f>マスタ!Q40</f>
        <v>-</v>
      </c>
      <c r="H41" s="4" t="str">
        <f>マスタ!R40</f>
        <v>-</v>
      </c>
      <c r="I41" s="6" t="str">
        <f>IF(マスタ!S40&lt;&gt;"",マスタ!S40,"")</f>
        <v/>
      </c>
    </row>
    <row r="42" spans="1:9" x14ac:dyDescent="0.4">
      <c r="A42" s="289" t="str">
        <f>IF(マスタ!K41&lt;&gt;マスタ!K40,マスタ!K41,"")</f>
        <v/>
      </c>
      <c r="B42" s="250">
        <f>マスタ!I41</f>
        <v>33</v>
      </c>
      <c r="C42" s="20" t="str">
        <f>マスタ!M41</f>
        <v>第4課目B馬場馬術競技</v>
      </c>
      <c r="D42" s="390" t="str">
        <f>マスタ!N41</f>
        <v>公認</v>
      </c>
      <c r="E42" s="250">
        <f>マスタ!O41</f>
        <v>14000</v>
      </c>
      <c r="F42" s="250" t="str">
        <f>マスタ!P41</f>
        <v>-</v>
      </c>
      <c r="G42" s="250" t="str">
        <f>マスタ!Q41</f>
        <v>-</v>
      </c>
      <c r="H42" s="250" t="str">
        <f>マスタ!R41</f>
        <v>-</v>
      </c>
      <c r="I42" s="21" t="str">
        <f>IF(マスタ!S41&lt;&gt;"",マスタ!S41,"")</f>
        <v/>
      </c>
    </row>
    <row r="43" spans="1:9" x14ac:dyDescent="0.4">
      <c r="A43" s="289" t="str">
        <f>IF(マスタ!K42&lt;&gt;マスタ!K41,マスタ!K42,"")</f>
        <v/>
      </c>
      <c r="B43" s="13">
        <f>マスタ!I42</f>
        <v>34</v>
      </c>
      <c r="C43" s="17" t="str">
        <f>マスタ!M42</f>
        <v>第5課目A馬場馬術競技</v>
      </c>
      <c r="D43" s="9" t="str">
        <f>マスタ!N42</f>
        <v>公認</v>
      </c>
      <c r="E43" s="13">
        <f>マスタ!O42</f>
        <v>14000</v>
      </c>
      <c r="F43" s="13" t="str">
        <f>マスタ!P42</f>
        <v>-</v>
      </c>
      <c r="G43" s="13" t="str">
        <f>マスタ!Q42</f>
        <v>-</v>
      </c>
      <c r="H43" s="13" t="str">
        <f>マスタ!R42</f>
        <v>-</v>
      </c>
      <c r="I43" s="10" t="str">
        <f>IF(マスタ!S42&lt;&gt;"",マスタ!S42,"")</f>
        <v/>
      </c>
    </row>
    <row r="44" spans="1:9" x14ac:dyDescent="0.4">
      <c r="A44" s="289" t="str">
        <f>IF(マスタ!K43&lt;&gt;マスタ!K42,マスタ!K43,"")</f>
        <v/>
      </c>
      <c r="B44" s="13">
        <f>マスタ!I43</f>
        <v>35</v>
      </c>
      <c r="C44" s="17" t="str">
        <f>マスタ!M43</f>
        <v>第3課目A馬場馬術競技</v>
      </c>
      <c r="D44" s="9" t="str">
        <f>マスタ!N43</f>
        <v>-</v>
      </c>
      <c r="E44" s="13">
        <f>マスタ!O43</f>
        <v>12000</v>
      </c>
      <c r="F44" s="13">
        <f>マスタ!P43</f>
        <v>10000</v>
      </c>
      <c r="G44" s="13">
        <f>マスタ!Q43</f>
        <v>10000</v>
      </c>
      <c r="H44" s="13">
        <f>マスタ!R43</f>
        <v>10000</v>
      </c>
      <c r="I44" s="10" t="str">
        <f>IF(マスタ!S43&lt;&gt;"",マスタ!S43,"")</f>
        <v/>
      </c>
    </row>
    <row r="45" spans="1:9" x14ac:dyDescent="0.4">
      <c r="A45" s="289" t="str">
        <f>IF(マスタ!K44&lt;&gt;マスタ!K43,マスタ!K44,"")</f>
        <v/>
      </c>
      <c r="B45" s="13">
        <f>マスタ!I44</f>
        <v>36</v>
      </c>
      <c r="C45" s="17" t="str">
        <f>マスタ!M44</f>
        <v>部班馬場馬術競技 (速歩)</v>
      </c>
      <c r="D45" s="9" t="str">
        <f>マスタ!N44</f>
        <v>一般</v>
      </c>
      <c r="E45" s="13">
        <f>マスタ!O44</f>
        <v>7000</v>
      </c>
      <c r="F45" s="13">
        <f>マスタ!P44</f>
        <v>6000</v>
      </c>
      <c r="G45" s="13">
        <f>マスタ!Q44</f>
        <v>6000</v>
      </c>
      <c r="H45" s="13" t="str">
        <f>マスタ!R44</f>
        <v>-</v>
      </c>
      <c r="I45" s="10" t="str">
        <f>IF(マスタ!S44&lt;&gt;"",マスタ!S44,"")</f>
        <v/>
      </c>
    </row>
    <row r="46" spans="1:9" x14ac:dyDescent="0.4">
      <c r="A46" s="289" t="str">
        <f>IF(マスタ!K45&lt;&gt;マスタ!K44,マスタ!K45,"")</f>
        <v/>
      </c>
      <c r="B46" s="13">
        <f>マスタ!I45</f>
        <v>36</v>
      </c>
      <c r="C46" s="17" t="str">
        <f>マスタ!M45</f>
        <v>部班馬場馬術競技 (速歩)</v>
      </c>
      <c r="D46" s="9" t="str">
        <f>マスタ!N45</f>
        <v>チルドレン</v>
      </c>
      <c r="E46" s="13" t="str">
        <f>マスタ!O45</f>
        <v>-</v>
      </c>
      <c r="F46" s="13" t="str">
        <f>マスタ!P45</f>
        <v>-</v>
      </c>
      <c r="G46" s="13">
        <f>マスタ!Q45</f>
        <v>6000</v>
      </c>
      <c r="H46" s="13" t="str">
        <f>マスタ!R45</f>
        <v>-</v>
      </c>
      <c r="I46" s="10" t="str">
        <f>IF(マスタ!S45&lt;&gt;"",マスタ!S45,"")</f>
        <v>中学生以下</v>
      </c>
    </row>
    <row r="47" spans="1:9" ht="19.5" customHeight="1" x14ac:dyDescent="0.4">
      <c r="A47" s="289" t="str">
        <f>IF(マスタ!K46&lt;&gt;マスタ!K45,マスタ!K46,"")</f>
        <v/>
      </c>
      <c r="B47" s="13">
        <f>マスタ!I46</f>
        <v>37</v>
      </c>
      <c r="C47" s="17" t="str">
        <f>マスタ!M46</f>
        <v>部班馬場馬術競技 (駈歩)</v>
      </c>
      <c r="D47" s="9" t="str">
        <f>マスタ!N46</f>
        <v>一般</v>
      </c>
      <c r="E47" s="13">
        <f>マスタ!O46</f>
        <v>7000</v>
      </c>
      <c r="F47" s="13">
        <f>マスタ!P46</f>
        <v>6000</v>
      </c>
      <c r="G47" s="13">
        <f>マスタ!Q46</f>
        <v>6000</v>
      </c>
      <c r="H47" s="13" t="str">
        <f>マスタ!R46</f>
        <v>-</v>
      </c>
      <c r="I47" s="10" t="str">
        <f>IF(マスタ!S46&lt;&gt;"",マスタ!S46,"")</f>
        <v/>
      </c>
    </row>
    <row r="48" spans="1:9" x14ac:dyDescent="0.4">
      <c r="A48" s="289" t="str">
        <f>IF(マスタ!K47&lt;&gt;マスタ!K46,マスタ!K47,"")</f>
        <v/>
      </c>
      <c r="B48" s="13">
        <f>マスタ!I47</f>
        <v>37</v>
      </c>
      <c r="C48" s="9" t="str">
        <f>マスタ!M47</f>
        <v>部班馬場馬術競技 (駈歩)</v>
      </c>
      <c r="D48" s="9" t="str">
        <f>マスタ!N47</f>
        <v>チルドレン</v>
      </c>
      <c r="E48" s="13" t="str">
        <f>マスタ!O47</f>
        <v>-</v>
      </c>
      <c r="F48" s="13" t="str">
        <f>マスタ!P47</f>
        <v>-</v>
      </c>
      <c r="G48" s="13">
        <f>マスタ!Q47</f>
        <v>6000</v>
      </c>
      <c r="H48" s="13" t="str">
        <f>マスタ!R47</f>
        <v>-</v>
      </c>
      <c r="I48" s="10" t="str">
        <f>IF(マスタ!S47&lt;&gt;"",マスタ!S47,"")</f>
        <v>中学生以下</v>
      </c>
    </row>
    <row r="49" spans="1:9" ht="19.5" thickBot="1" x14ac:dyDescent="0.45">
      <c r="A49" s="290" t="str">
        <f>IF(マスタ!K48&lt;&gt;マスタ!K47,マスタ!K48,"")</f>
        <v/>
      </c>
      <c r="B49" s="14">
        <f>マスタ!I48</f>
        <v>38</v>
      </c>
      <c r="C49" s="11" t="str">
        <f>マスタ!M48</f>
        <v>自由選択課目</v>
      </c>
      <c r="D49" s="11" t="str">
        <f>マスタ!N48</f>
        <v>-</v>
      </c>
      <c r="E49" s="14">
        <f>マスタ!O48</f>
        <v>12000</v>
      </c>
      <c r="F49" s="14">
        <f>マスタ!P48</f>
        <v>10000</v>
      </c>
      <c r="G49" s="14">
        <f>マスタ!Q48</f>
        <v>10000</v>
      </c>
      <c r="H49" s="14">
        <f>マスタ!R48</f>
        <v>10000</v>
      </c>
      <c r="I49" s="12" t="str">
        <f>IF(マスタ!S48&lt;&gt;"",マスタ!S48,"")</f>
        <v/>
      </c>
    </row>
    <row r="50" spans="1:9" ht="19.5" thickBot="1" x14ac:dyDescent="0.45">
      <c r="A50" s="290" t="str">
        <f>IF(マスタ!K49&lt;&gt;マスタ!K48,マスタ!K49,"")</f>
        <v/>
      </c>
      <c r="B50" s="395">
        <f>マスタ!I49</f>
        <v>0</v>
      </c>
      <c r="C50" s="396">
        <f>マスタ!M49</f>
        <v>0</v>
      </c>
      <c r="D50" s="397">
        <f>マスタ!N49</f>
        <v>0</v>
      </c>
      <c r="E50" s="395">
        <f>マスタ!O49</f>
        <v>0</v>
      </c>
      <c r="F50" s="395">
        <f>マスタ!P49</f>
        <v>0</v>
      </c>
      <c r="G50" s="395">
        <f>マスタ!Q49</f>
        <v>0</v>
      </c>
      <c r="H50" s="395">
        <f>マスタ!R49</f>
        <v>0</v>
      </c>
      <c r="I50" s="398" t="str">
        <f>IF(マスタ!S49&lt;&gt;"",マスタ!S49,"")</f>
        <v/>
      </c>
    </row>
    <row r="51" spans="1:9" x14ac:dyDescent="0.4">
      <c r="A51" s="253"/>
      <c r="C51" s="254"/>
      <c r="E51" s="1"/>
      <c r="F51" s="1"/>
      <c r="G51" s="1"/>
      <c r="H51" s="1"/>
    </row>
  </sheetData>
  <sheetProtection algorithmName="SHA-512" hashValue="hYwiGK8RRgkzy5sS2eWS1CFo3gg4y2gUNA5HYlxJNBtgJfmdWpAdXvN7zO6ZfgjO9GUkvvlwz4VK8Gf8/0+N6A==" saltValue="VgfG7m0ZCp1ITLfD4ZRX8A==" spinCount="100000" sheet="1" autoFilter="0"/>
  <mergeCells count="6">
    <mergeCell ref="E2:I2"/>
    <mergeCell ref="E3:H3"/>
    <mergeCell ref="A3:A4"/>
    <mergeCell ref="B3:B4"/>
    <mergeCell ref="C3:C4"/>
    <mergeCell ref="D3:D4"/>
  </mergeCells>
  <phoneticPr fontId="4"/>
  <printOptions horizontalCentered="1"/>
  <pageMargins left="0.23622047244094491" right="0.23622047244094491" top="0.51181102362204722" bottom="0.51181102362204722" header="0.31496062992125984" footer="0.31496062992125984"/>
  <pageSetup paperSize="9" scale="75"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F0"/>
  </sheetPr>
  <dimension ref="A1:BM30"/>
  <sheetViews>
    <sheetView view="pageBreakPreview" zoomScaleNormal="100" zoomScaleSheetLayoutView="100" workbookViewId="0">
      <selection activeCell="B3" sqref="B3"/>
    </sheetView>
  </sheetViews>
  <sheetFormatPr defaultRowHeight="18.75" x14ac:dyDescent="0.4"/>
  <cols>
    <col min="1" max="1" width="20" bestFit="1" customWidth="1"/>
    <col min="2" max="2" width="17.25" customWidth="1"/>
    <col min="3" max="3" width="18.625" customWidth="1"/>
    <col min="4" max="4" width="20.375" customWidth="1"/>
    <col min="5" max="5" width="2.5" customWidth="1"/>
    <col min="6" max="6" width="7.875" customWidth="1"/>
    <col min="7" max="7" width="22.5" customWidth="1"/>
    <col min="8" max="8" width="12.375" bestFit="1" customWidth="1"/>
    <col min="9" max="9" width="10.75" customWidth="1"/>
    <col min="10" max="10" width="16.875" customWidth="1"/>
    <col min="11" max="11" width="10.875" bestFit="1" customWidth="1"/>
    <col min="12" max="12" width="8.125" customWidth="1"/>
    <col min="13" max="13" width="9.25" customWidth="1"/>
    <col min="14" max="14" width="10.5" hidden="1" customWidth="1"/>
    <col min="15" max="15" width="9.25" hidden="1" customWidth="1"/>
    <col min="16" max="16" width="11.375" style="120" hidden="1" customWidth="1"/>
    <col min="17" max="17" width="9" style="120" hidden="1" customWidth="1"/>
    <col min="18" max="18" width="11.75" style="120" hidden="1" customWidth="1"/>
    <col min="19" max="24" width="9" style="120" hidden="1" customWidth="1"/>
    <col min="25" max="25" width="10.75" style="120" hidden="1" customWidth="1"/>
    <col min="26" max="26" width="9" style="120" hidden="1" customWidth="1"/>
    <col min="27" max="27" width="8.25" style="120" hidden="1" customWidth="1"/>
    <col min="28" max="51" width="9" style="120" hidden="1" customWidth="1"/>
    <col min="52" max="65" width="9" hidden="1" customWidth="1"/>
    <col min="66" max="68" width="0" hidden="1" customWidth="1"/>
  </cols>
  <sheetData>
    <row r="1" spans="1:65" ht="24" x14ac:dyDescent="0.4">
      <c r="A1" s="255" t="str">
        <f>お知らせ・記入要領!$A$1</f>
        <v>第44回 キャロットステークス 申込書</v>
      </c>
      <c r="B1" s="262"/>
      <c r="C1" s="262"/>
      <c r="D1" s="262"/>
      <c r="E1" s="256"/>
      <c r="F1" s="256"/>
      <c r="G1" s="256"/>
      <c r="H1" s="256"/>
      <c r="I1" s="256"/>
      <c r="J1" s="256"/>
      <c r="K1" s="248" t="s">
        <v>383</v>
      </c>
      <c r="N1" t="s">
        <v>347</v>
      </c>
      <c r="O1" t="s">
        <v>319</v>
      </c>
      <c r="P1" s="120" t="s">
        <v>105</v>
      </c>
      <c r="Q1" s="120" t="s">
        <v>100</v>
      </c>
      <c r="R1" s="120" t="s">
        <v>101</v>
      </c>
      <c r="S1" s="120" t="s">
        <v>102</v>
      </c>
      <c r="U1" s="120" t="s">
        <v>103</v>
      </c>
      <c r="W1" s="120" t="s">
        <v>104</v>
      </c>
      <c r="Y1" s="120" t="s">
        <v>324</v>
      </c>
      <c r="AA1" s="120" t="s">
        <v>106</v>
      </c>
      <c r="AB1" s="120" t="s">
        <v>107</v>
      </c>
      <c r="AC1" s="120" t="s">
        <v>108</v>
      </c>
      <c r="AD1" s="120" t="s">
        <v>109</v>
      </c>
      <c r="AE1" s="120" t="s">
        <v>110</v>
      </c>
      <c r="AF1" s="120" t="s">
        <v>346</v>
      </c>
      <c r="AG1" s="120" t="s">
        <v>111</v>
      </c>
      <c r="AH1" s="120" t="s">
        <v>112</v>
      </c>
      <c r="AI1" s="120" t="s">
        <v>113</v>
      </c>
      <c r="AJ1" s="120" t="s">
        <v>114</v>
      </c>
      <c r="AN1" s="120" t="s">
        <v>115</v>
      </c>
      <c r="AR1" s="120" t="s">
        <v>116</v>
      </c>
      <c r="AV1" s="120" t="s">
        <v>354</v>
      </c>
      <c r="AZ1" t="s">
        <v>322</v>
      </c>
      <c r="BA1" t="s">
        <v>323</v>
      </c>
      <c r="BB1">
        <v>1</v>
      </c>
      <c r="BC1" t="s">
        <v>1746</v>
      </c>
      <c r="BD1" s="120" t="s">
        <v>1747</v>
      </c>
      <c r="BE1" s="120" t="s">
        <v>1748</v>
      </c>
      <c r="BF1">
        <v>2</v>
      </c>
      <c r="BG1" t="s">
        <v>1749</v>
      </c>
      <c r="BH1" s="120" t="s">
        <v>1750</v>
      </c>
      <c r="BI1" s="120" t="s">
        <v>1751</v>
      </c>
      <c r="BJ1">
        <v>3</v>
      </c>
      <c r="BK1" t="s">
        <v>1752</v>
      </c>
      <c r="BL1" s="120" t="s">
        <v>1753</v>
      </c>
      <c r="BM1" s="120" t="s">
        <v>1754</v>
      </c>
    </row>
    <row r="2" spans="1:65" ht="20.25" thickBot="1" x14ac:dyDescent="0.45">
      <c r="A2" s="257" t="s">
        <v>275</v>
      </c>
      <c r="B2" s="263"/>
      <c r="C2" s="263"/>
      <c r="D2" s="263"/>
      <c r="E2" s="264"/>
      <c r="F2" s="264"/>
      <c r="G2" s="264"/>
      <c r="H2" s="264"/>
      <c r="I2" s="264"/>
      <c r="J2" s="264"/>
      <c r="K2" s="247" t="str">
        <f>N2</f>
        <v>20220627a</v>
      </c>
      <c r="N2" t="str">
        <f>マスタ!$D$3</f>
        <v>20220627a</v>
      </c>
      <c r="O2" t="str">
        <f>IF(B3&lt;&gt;"",B3,"")</f>
        <v/>
      </c>
      <c r="P2" s="180" t="str">
        <f>IF(J3&lt;&gt;"",J3,"")</f>
        <v/>
      </c>
      <c r="Q2" s="120" t="str">
        <f>IF(B7&lt;&gt;"",TRIM($B$7),"")</f>
        <v/>
      </c>
      <c r="R2" s="120" t="str">
        <f>TRIM($B$6)</f>
        <v/>
      </c>
      <c r="S2" s="120" t="str">
        <f>IF(A27&lt;&gt;"",TRIM(A27),"")</f>
        <v/>
      </c>
      <c r="T2" s="120" t="str">
        <f>IF(C27&lt;&gt;"",TRIM(C27),"")</f>
        <v/>
      </c>
      <c r="U2" s="120" t="str">
        <f>IF(A28&lt;&gt;"",TRIM(A28),"")</f>
        <v/>
      </c>
      <c r="V2" s="120" t="str">
        <f>IF(C28&lt;&gt;"",TRIM(C28),"")</f>
        <v/>
      </c>
      <c r="W2" s="120" t="str">
        <f>IF(A29&lt;&gt;"",TRIM(A29),"")</f>
        <v/>
      </c>
      <c r="X2" s="120" t="str">
        <f>IF(C29&lt;&gt;"",TRIM(C29),"")</f>
        <v/>
      </c>
      <c r="Y2" s="120" t="str">
        <f>IF(A30&lt;&gt;"",TRIM(A30),"")</f>
        <v/>
      </c>
      <c r="Z2" s="120" t="str">
        <f>IF(C30&lt;&gt;"",TRIM(C30),"")</f>
        <v/>
      </c>
      <c r="AA2" s="120" t="str">
        <f>IF(B8&lt;&gt;"",B8,"")</f>
        <v/>
      </c>
      <c r="AB2" s="120" t="str">
        <f>IF(B9&lt;&gt;"",B9,"")</f>
        <v/>
      </c>
      <c r="AC2" s="120" t="str">
        <f>IF(B10&lt;&gt;"",B10,"")</f>
        <v/>
      </c>
      <c r="AD2" s="120" t="str">
        <f>IF(B11&lt;&gt;"",B11,"")</f>
        <v/>
      </c>
      <c r="AE2" s="120" t="str">
        <f>IF(B12&lt;&gt;"",B12,"")</f>
        <v/>
      </c>
      <c r="AF2" s="120" t="str">
        <f>IF(B13&lt;&gt;"",B13,"")</f>
        <v/>
      </c>
      <c r="AG2" s="120" t="str">
        <f>IF(B14&lt;&gt;"",B14,"")</f>
        <v/>
      </c>
      <c r="AH2" s="120" t="str">
        <f>IF(B15&lt;&gt;"",B15,"")</f>
        <v/>
      </c>
      <c r="AI2" s="120" t="str">
        <f>IF(B16&lt;&gt;"",B16,"")</f>
        <v/>
      </c>
      <c r="AJ2" s="120" t="str">
        <f>IF(A20&lt;&gt;"",A20,"")</f>
        <v/>
      </c>
      <c r="AK2" s="120" t="str">
        <f>IF(B20&lt;&gt;"",B20,"")</f>
        <v/>
      </c>
      <c r="AL2" s="120" t="str">
        <f>IF(C20&lt;&gt;"",C20,"")</f>
        <v/>
      </c>
      <c r="AM2" s="120" t="str">
        <f>IF(D20&lt;&gt;"",D20,"")</f>
        <v/>
      </c>
      <c r="AN2" s="120" t="str">
        <f>IF(A21&lt;&gt;"",A21,"")</f>
        <v/>
      </c>
      <c r="AO2" s="120" t="str">
        <f>IF(B21&lt;&gt;"",B21,"")</f>
        <v/>
      </c>
      <c r="AP2" s="120" t="str">
        <f>IF(C21&lt;&gt;"",C21,"")</f>
        <v/>
      </c>
      <c r="AQ2" s="120" t="str">
        <f>IF(D21&lt;&gt;"",D21,"")</f>
        <v/>
      </c>
      <c r="AR2" s="120" t="str">
        <f>IF(A22&lt;&gt;"",A22,"")</f>
        <v/>
      </c>
      <c r="AS2" s="120" t="str">
        <f>IF(B22&lt;&gt;"",B22,"")</f>
        <v/>
      </c>
      <c r="AT2" s="120" t="str">
        <f>IF(C22&lt;&gt;"",C22,"")</f>
        <v/>
      </c>
      <c r="AU2" s="120" t="str">
        <f>IF(D22&lt;&gt;"",D22,"")</f>
        <v/>
      </c>
      <c r="AV2" s="120" t="str">
        <f>IF(A23&lt;&gt;"",A23,"")</f>
        <v/>
      </c>
      <c r="AW2" s="120" t="str">
        <f>IF(B23&lt;&gt;"",B23,"")</f>
        <v/>
      </c>
      <c r="AX2" s="120" t="str">
        <f>IF(C23&lt;&gt;"",C23,"")</f>
        <v/>
      </c>
      <c r="AY2" s="120" t="str">
        <f>IF(D23&lt;&gt;"",D23,"")</f>
        <v/>
      </c>
      <c r="AZ2" s="120">
        <f>IF(F10="✔",1,0)</f>
        <v>0</v>
      </c>
      <c r="BA2" s="120">
        <f>IF(F15="✔",1,0)</f>
        <v>0</v>
      </c>
      <c r="BB2" t="str">
        <f>IF(F28&lt;&gt;"",F28,"")</f>
        <v/>
      </c>
      <c r="BC2" s="110" t="str">
        <f>IF(G28&lt;&gt;"",G28,"")</f>
        <v/>
      </c>
      <c r="BD2" t="str">
        <f>IF(H28&lt;&gt;"",H28,"")</f>
        <v/>
      </c>
      <c r="BE2" t="str">
        <f>IF(J28&lt;&gt;"",J28,"")</f>
        <v/>
      </c>
      <c r="BF2" s="120" t="str">
        <f>IF(F29&lt;&gt;"",F29,"")</f>
        <v/>
      </c>
      <c r="BG2" s="359" t="str">
        <f>IF(G29&lt;&gt;"",G29,"")</f>
        <v/>
      </c>
      <c r="BH2" s="120" t="str">
        <f>IF(H29&lt;&gt;"",H29,"")</f>
        <v/>
      </c>
      <c r="BI2" s="120" t="str">
        <f>IF(J29&lt;&gt;"",J29,"")</f>
        <v/>
      </c>
      <c r="BJ2" s="120" t="str">
        <f>IF(F30&lt;&gt;"",F30,"")</f>
        <v/>
      </c>
      <c r="BK2" s="359" t="str">
        <f>IF(G30&lt;&gt;"",G30,"")</f>
        <v/>
      </c>
      <c r="BL2" s="120" t="str">
        <f>IF(H30&lt;&gt;"",H30,"")</f>
        <v/>
      </c>
      <c r="BM2" s="120" t="str">
        <f>IF(J30&lt;&gt;"",J30,"")</f>
        <v/>
      </c>
    </row>
    <row r="3" spans="1:65" ht="20.25" thickBot="1" x14ac:dyDescent="0.45">
      <c r="A3" s="181" t="s">
        <v>319</v>
      </c>
      <c r="B3" s="116"/>
      <c r="C3" s="182" t="s">
        <v>1734</v>
      </c>
      <c r="D3" s="183"/>
      <c r="H3" s="184"/>
      <c r="I3" s="184" t="s">
        <v>98</v>
      </c>
      <c r="J3" s="79"/>
    </row>
    <row r="4" spans="1:65" ht="14.25" customHeight="1" x14ac:dyDescent="0.4"/>
    <row r="5" spans="1:65" ht="20.100000000000001" customHeight="1" thickBot="1" x14ac:dyDescent="0.45">
      <c r="A5" s="83" t="s">
        <v>314</v>
      </c>
      <c r="F5" s="83" t="s">
        <v>322</v>
      </c>
      <c r="N5" t="s">
        <v>355</v>
      </c>
      <c r="O5" t="s">
        <v>348</v>
      </c>
      <c r="P5" s="120" t="s">
        <v>233</v>
      </c>
      <c r="Q5" s="120" t="s">
        <v>329</v>
      </c>
      <c r="R5" s="120" t="s">
        <v>349</v>
      </c>
      <c r="S5" s="120" t="s">
        <v>42</v>
      </c>
      <c r="U5" s="120" t="s">
        <v>353</v>
      </c>
      <c r="V5" s="120">
        <v>2</v>
      </c>
      <c r="W5" s="120">
        <v>3</v>
      </c>
      <c r="X5" s="120">
        <v>4</v>
      </c>
    </row>
    <row r="6" spans="1:65" ht="20.100000000000001" customHeight="1" x14ac:dyDescent="0.4">
      <c r="A6" s="185" t="s">
        <v>33</v>
      </c>
      <c r="B6" s="482"/>
      <c r="C6" s="482"/>
      <c r="D6" s="483"/>
      <c r="F6" s="445" t="s">
        <v>312</v>
      </c>
      <c r="G6" s="460"/>
      <c r="H6" s="460"/>
      <c r="I6" s="460"/>
      <c r="J6" s="461"/>
      <c r="N6">
        <f>選手登録!K3</f>
        <v>0</v>
      </c>
      <c r="O6" s="205">
        <f>I22</f>
        <v>0</v>
      </c>
      <c r="P6" s="206">
        <f>J22</f>
        <v>0</v>
      </c>
      <c r="Q6" s="207" t="str">
        <f>I23</f>
        <v/>
      </c>
      <c r="R6" s="206" t="str">
        <f>J23</f>
        <v/>
      </c>
      <c r="S6" s="206">
        <f>J25</f>
        <v>0</v>
      </c>
      <c r="U6" s="120" t="str">
        <f>IF(F17&lt;&gt;"",F17,"")</f>
        <v/>
      </c>
      <c r="V6" s="120" t="str">
        <f>IF(F18&lt;&gt;"",F18,"")</f>
        <v/>
      </c>
      <c r="W6" s="120" t="str">
        <f>IF(F19&lt;&gt;"",F19,"")</f>
        <v/>
      </c>
      <c r="X6" s="120" t="str">
        <f>IF(F20&lt;&gt;"",F20,"")</f>
        <v/>
      </c>
    </row>
    <row r="7" spans="1:65" ht="20.100000000000001" customHeight="1" x14ac:dyDescent="0.4">
      <c r="A7" s="167" t="s">
        <v>18</v>
      </c>
      <c r="B7" s="429"/>
      <c r="C7" s="429"/>
      <c r="D7" s="430"/>
      <c r="F7" s="462"/>
      <c r="G7" s="463"/>
      <c r="H7" s="463"/>
      <c r="I7" s="463"/>
      <c r="J7" s="464"/>
    </row>
    <row r="8" spans="1:65" ht="20.100000000000001" customHeight="1" x14ac:dyDescent="0.4">
      <c r="A8" s="186" t="s">
        <v>37</v>
      </c>
      <c r="B8" s="478"/>
      <c r="C8" s="478"/>
      <c r="D8" s="479"/>
      <c r="F8" s="462"/>
      <c r="G8" s="463"/>
      <c r="H8" s="463"/>
      <c r="I8" s="463"/>
      <c r="J8" s="464"/>
    </row>
    <row r="9" spans="1:65" ht="20.100000000000001" customHeight="1" x14ac:dyDescent="0.4">
      <c r="A9" s="472" t="s">
        <v>19</v>
      </c>
      <c r="B9" s="468"/>
      <c r="C9" s="469"/>
      <c r="D9" s="470"/>
      <c r="F9" s="465"/>
      <c r="G9" s="466"/>
      <c r="H9" s="466"/>
      <c r="I9" s="466"/>
      <c r="J9" s="467"/>
    </row>
    <row r="10" spans="1:65" ht="20.100000000000001" customHeight="1" x14ac:dyDescent="0.4">
      <c r="A10" s="477"/>
      <c r="B10" s="480"/>
      <c r="C10" s="480"/>
      <c r="D10" s="481"/>
      <c r="F10" s="115"/>
      <c r="G10" s="48" t="s">
        <v>259</v>
      </c>
      <c r="H10" s="187" t="s">
        <v>310</v>
      </c>
    </row>
    <row r="11" spans="1:65" ht="20.100000000000001" customHeight="1" x14ac:dyDescent="0.4">
      <c r="A11" s="167" t="s">
        <v>20</v>
      </c>
      <c r="B11" s="429"/>
      <c r="C11" s="429"/>
      <c r="D11" s="430"/>
      <c r="F11" s="83" t="s">
        <v>323</v>
      </c>
      <c r="G11" s="46"/>
      <c r="H11" s="187"/>
    </row>
    <row r="12" spans="1:65" ht="20.100000000000001" customHeight="1" x14ac:dyDescent="0.4">
      <c r="A12" s="167" t="s">
        <v>345</v>
      </c>
      <c r="B12" s="429"/>
      <c r="C12" s="429"/>
      <c r="D12" s="430"/>
      <c r="F12" s="445" t="s">
        <v>1842</v>
      </c>
      <c r="G12" s="446"/>
      <c r="H12" s="446"/>
      <c r="I12" s="446"/>
      <c r="J12" s="447"/>
    </row>
    <row r="13" spans="1:65" ht="22.5" customHeight="1" x14ac:dyDescent="0.4">
      <c r="A13" s="412" t="s">
        <v>344</v>
      </c>
      <c r="B13" s="435"/>
      <c r="C13" s="436"/>
      <c r="D13" s="437"/>
      <c r="F13" s="448"/>
      <c r="G13" s="449"/>
      <c r="H13" s="449"/>
      <c r="I13" s="449"/>
      <c r="J13" s="450"/>
    </row>
    <row r="14" spans="1:65" ht="20.100000000000001" customHeight="1" x14ac:dyDescent="0.4">
      <c r="A14" s="471" t="s">
        <v>40</v>
      </c>
      <c r="B14" s="428"/>
      <c r="C14" s="429"/>
      <c r="D14" s="430"/>
      <c r="F14" s="451"/>
      <c r="G14" s="452"/>
      <c r="H14" s="452"/>
      <c r="I14" s="452"/>
      <c r="J14" s="453"/>
    </row>
    <row r="15" spans="1:65" ht="20.100000000000001" customHeight="1" x14ac:dyDescent="0.4">
      <c r="A15" s="472"/>
      <c r="B15" s="428"/>
      <c r="C15" s="429"/>
      <c r="D15" s="430"/>
      <c r="F15" s="388"/>
      <c r="G15" s="389"/>
      <c r="H15" s="187"/>
    </row>
    <row r="16" spans="1:65" ht="20.100000000000001" customHeight="1" thickBot="1" x14ac:dyDescent="0.45">
      <c r="A16" s="473"/>
      <c r="B16" s="484"/>
      <c r="C16" s="433"/>
      <c r="D16" s="434"/>
      <c r="F16" s="83" t="s">
        <v>175</v>
      </c>
      <c r="G16" s="188"/>
      <c r="H16" s="188"/>
      <c r="I16" s="188"/>
      <c r="J16" s="188"/>
    </row>
    <row r="17" spans="1:51" ht="20.100000000000001" customHeight="1" x14ac:dyDescent="0.4">
      <c r="B17" s="170" t="s">
        <v>352</v>
      </c>
      <c r="F17" s="485"/>
      <c r="G17" s="486"/>
      <c r="H17" s="486"/>
      <c r="I17" s="486"/>
      <c r="J17" s="487"/>
    </row>
    <row r="18" spans="1:51" ht="20.100000000000001" customHeight="1" thickBot="1" x14ac:dyDescent="0.45">
      <c r="A18" s="83" t="s">
        <v>22</v>
      </c>
      <c r="F18" s="488"/>
      <c r="G18" s="489"/>
      <c r="H18" s="489"/>
      <c r="I18" s="489"/>
      <c r="J18" s="490"/>
      <c r="K18" s="120"/>
      <c r="L18" s="120"/>
      <c r="M18" s="120"/>
      <c r="N18" s="120"/>
      <c r="O18" s="120"/>
      <c r="AU18"/>
      <c r="AV18"/>
      <c r="AW18"/>
      <c r="AX18"/>
      <c r="AY18"/>
    </row>
    <row r="19" spans="1:51" ht="20.100000000000001" customHeight="1" x14ac:dyDescent="0.4">
      <c r="A19" s="189" t="s">
        <v>38</v>
      </c>
      <c r="B19" s="190" t="s">
        <v>32</v>
      </c>
      <c r="C19" s="190" t="s">
        <v>39</v>
      </c>
      <c r="D19" s="191" t="s">
        <v>1845</v>
      </c>
      <c r="F19" s="488"/>
      <c r="G19" s="489"/>
      <c r="H19" s="489"/>
      <c r="I19" s="489"/>
      <c r="J19" s="490"/>
      <c r="K19" s="120"/>
      <c r="L19" s="120"/>
      <c r="M19" s="120"/>
      <c r="N19" s="120"/>
      <c r="O19" s="120"/>
      <c r="AU19"/>
      <c r="AV19"/>
      <c r="AW19"/>
      <c r="AX19"/>
      <c r="AY19"/>
    </row>
    <row r="20" spans="1:51" ht="20.100000000000001" customHeight="1" thickBot="1" x14ac:dyDescent="0.45">
      <c r="A20" s="143"/>
      <c r="B20" s="144"/>
      <c r="C20" s="144"/>
      <c r="D20" s="145"/>
      <c r="F20" s="438"/>
      <c r="G20" s="439"/>
      <c r="H20" s="439"/>
      <c r="I20" s="439"/>
      <c r="J20" s="440"/>
      <c r="K20" s="120"/>
      <c r="L20" s="120"/>
      <c r="M20" s="120"/>
      <c r="N20" s="120"/>
      <c r="O20" s="120"/>
      <c r="AU20"/>
      <c r="AV20"/>
      <c r="AW20"/>
      <c r="AX20"/>
      <c r="AY20"/>
    </row>
    <row r="21" spans="1:51" ht="20.100000000000001" customHeight="1" thickBot="1" x14ac:dyDescent="0.45">
      <c r="A21" s="143"/>
      <c r="B21" s="144"/>
      <c r="C21" s="144"/>
      <c r="D21" s="145"/>
      <c r="K21" s="120"/>
      <c r="L21" s="120"/>
      <c r="M21" s="120"/>
      <c r="N21" s="120"/>
      <c r="O21" s="120"/>
      <c r="AU21"/>
      <c r="AV21"/>
      <c r="AW21"/>
      <c r="AX21"/>
      <c r="AY21"/>
    </row>
    <row r="22" spans="1:51" ht="20.100000000000001" customHeight="1" x14ac:dyDescent="0.4">
      <c r="A22" s="143"/>
      <c r="B22" s="144"/>
      <c r="C22" s="144"/>
      <c r="D22" s="145"/>
      <c r="F22" s="441" t="s">
        <v>233</v>
      </c>
      <c r="G22" s="442"/>
      <c r="H22" s="192">
        <f>マスタ!C15</f>
        <v>12000</v>
      </c>
      <c r="I22" s="193">
        <f>馬匹登録!I4</f>
        <v>0</v>
      </c>
      <c r="J22" s="194">
        <f>$H$22*$I$22</f>
        <v>0</v>
      </c>
    </row>
    <row r="23" spans="1:51" ht="20.100000000000001" customHeight="1" thickBot="1" x14ac:dyDescent="0.45">
      <c r="A23" s="146"/>
      <c r="B23" s="147"/>
      <c r="C23" s="147"/>
      <c r="D23" s="148"/>
      <c r="F23" s="443" t="s">
        <v>41</v>
      </c>
      <c r="G23" s="444"/>
      <c r="H23" s="195"/>
      <c r="I23" s="196" t="str">
        <f>エントリー!G4</f>
        <v/>
      </c>
      <c r="J23" s="197" t="str">
        <f>エントリー!E4</f>
        <v/>
      </c>
    </row>
    <row r="24" spans="1:51" ht="20.100000000000001" customHeight="1" thickBot="1" x14ac:dyDescent="0.45">
      <c r="F24" s="456"/>
      <c r="G24" s="457"/>
      <c r="H24" s="198"/>
      <c r="I24" s="199"/>
      <c r="J24" s="200"/>
    </row>
    <row r="25" spans="1:51" ht="20.100000000000001" customHeight="1" thickTop="1" thickBot="1" x14ac:dyDescent="0.45">
      <c r="A25" s="83" t="s">
        <v>23</v>
      </c>
      <c r="B25" s="170" t="s">
        <v>382</v>
      </c>
      <c r="F25" s="454" t="s">
        <v>42</v>
      </c>
      <c r="G25" s="455"/>
      <c r="H25" s="201"/>
      <c r="I25" s="202"/>
      <c r="J25" s="203">
        <f>SUM(J22:J24)</f>
        <v>0</v>
      </c>
    </row>
    <row r="26" spans="1:51" ht="20.100000000000001" customHeight="1" thickBot="1" x14ac:dyDescent="0.45">
      <c r="A26" s="474" t="s">
        <v>18</v>
      </c>
      <c r="B26" s="475"/>
      <c r="C26" s="475" t="s">
        <v>33</v>
      </c>
      <c r="D26" s="476"/>
      <c r="F26" s="83" t="s">
        <v>1833</v>
      </c>
    </row>
    <row r="27" spans="1:51" ht="20.100000000000001" customHeight="1" x14ac:dyDescent="0.4">
      <c r="A27" s="431"/>
      <c r="B27" s="429"/>
      <c r="C27" s="429"/>
      <c r="D27" s="430"/>
      <c r="F27" s="161"/>
      <c r="G27" s="353" t="s">
        <v>1744</v>
      </c>
      <c r="H27" s="458" t="s">
        <v>1834</v>
      </c>
      <c r="I27" s="459"/>
      <c r="J27" s="354" t="s">
        <v>1745</v>
      </c>
    </row>
    <row r="28" spans="1:51" ht="20.100000000000001" customHeight="1" x14ac:dyDescent="0.4">
      <c r="A28" s="431"/>
      <c r="B28" s="429"/>
      <c r="C28" s="429"/>
      <c r="D28" s="430"/>
      <c r="F28" s="162"/>
      <c r="G28" s="355"/>
      <c r="H28" s="424"/>
      <c r="I28" s="425"/>
      <c r="J28" s="356"/>
    </row>
    <row r="29" spans="1:51" x14ac:dyDescent="0.4">
      <c r="A29" s="431"/>
      <c r="B29" s="429"/>
      <c r="C29" s="429"/>
      <c r="D29" s="430"/>
      <c r="F29" s="162"/>
      <c r="G29" s="355"/>
      <c r="H29" s="424"/>
      <c r="I29" s="425"/>
      <c r="J29" s="356"/>
    </row>
    <row r="30" spans="1:51" ht="19.5" thickBot="1" x14ac:dyDescent="0.45">
      <c r="A30" s="432"/>
      <c r="B30" s="433"/>
      <c r="C30" s="433"/>
      <c r="D30" s="434"/>
      <c r="F30" s="166"/>
      <c r="G30" s="357"/>
      <c r="H30" s="426"/>
      <c r="I30" s="427"/>
      <c r="J30" s="358"/>
    </row>
  </sheetData>
  <sheetProtection algorithmName="SHA-512" hashValue="9Ph2VlpufMhNoPp381QJoGdhHEtGXmYyEQtb3NEUDFQBWFRbia4QzB/vICo1iuLeJnG/tSkMJTD+rEezN0JRqw==" saltValue="U2OOwFAr+rGQk8rdJG/sfw==" spinCount="100000" sheet="1" objects="1" scenarios="1" autoFilter="0"/>
  <mergeCells count="37">
    <mergeCell ref="F6:J9"/>
    <mergeCell ref="B9:D9"/>
    <mergeCell ref="A14:A16"/>
    <mergeCell ref="A26:B26"/>
    <mergeCell ref="C26:D26"/>
    <mergeCell ref="A9:A10"/>
    <mergeCell ref="B7:D7"/>
    <mergeCell ref="B8:D8"/>
    <mergeCell ref="B10:D10"/>
    <mergeCell ref="B6:D6"/>
    <mergeCell ref="B16:D16"/>
    <mergeCell ref="B11:D11"/>
    <mergeCell ref="B12:D12"/>
    <mergeCell ref="F17:J17"/>
    <mergeCell ref="F18:J18"/>
    <mergeCell ref="F19:J19"/>
    <mergeCell ref="B13:D13"/>
    <mergeCell ref="A27:B27"/>
    <mergeCell ref="F20:J20"/>
    <mergeCell ref="C27:D27"/>
    <mergeCell ref="F22:G22"/>
    <mergeCell ref="F23:G23"/>
    <mergeCell ref="F12:J14"/>
    <mergeCell ref="F25:G25"/>
    <mergeCell ref="F24:G24"/>
    <mergeCell ref="H27:I27"/>
    <mergeCell ref="H28:I28"/>
    <mergeCell ref="H29:I29"/>
    <mergeCell ref="H30:I30"/>
    <mergeCell ref="B14:D14"/>
    <mergeCell ref="B15:D15"/>
    <mergeCell ref="C28:D28"/>
    <mergeCell ref="A29:B29"/>
    <mergeCell ref="A30:B30"/>
    <mergeCell ref="A28:B28"/>
    <mergeCell ref="C29:D29"/>
    <mergeCell ref="C30:D30"/>
  </mergeCells>
  <phoneticPr fontId="4"/>
  <dataValidations count="2">
    <dataValidation type="list" allowBlank="1" showInputMessage="1" showErrorMessage="1" sqref="F10 F15">
      <formula1>"✔"</formula1>
    </dataValidation>
    <dataValidation type="list" allowBlank="1" showInputMessage="1" showErrorMessage="1" sqref="B3">
      <formula1>"新規,更新"</formula1>
    </dataValidation>
  </dataValidations>
  <printOptions horizontalCentered="1"/>
  <pageMargins left="0.39370078740157483" right="0.39370078740157483" top="0.59055118110236227" bottom="0.59055118110236227" header="0.31496062992125984" footer="0.31496062992125984"/>
  <pageSetup paperSize="9" scale="85"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F0"/>
    <pageSetUpPr fitToPage="1"/>
  </sheetPr>
  <dimension ref="A1:AU57"/>
  <sheetViews>
    <sheetView view="pageBreakPreview" zoomScale="90" zoomScaleNormal="100" zoomScaleSheetLayoutView="90" workbookViewId="0">
      <pane xSplit="1" ySplit="7" topLeftCell="B8" activePane="bottomRight" state="frozen"/>
      <selection pane="topRight" activeCell="B1" sqref="B1"/>
      <selection pane="bottomLeft" activeCell="A7" sqref="A7"/>
      <selection pane="bottomRight" activeCell="B8" sqref="B8"/>
    </sheetView>
  </sheetViews>
  <sheetFormatPr defaultRowHeight="18.75" x14ac:dyDescent="0.4"/>
  <cols>
    <col min="1" max="1" width="5.25" bestFit="1" customWidth="1"/>
    <col min="2" max="5" width="15" customWidth="1"/>
    <col min="6" max="6" width="9.875" bestFit="1" customWidth="1"/>
    <col min="7" max="7" width="17.25" customWidth="1"/>
    <col min="8" max="8" width="37.375" customWidth="1"/>
    <col min="9" max="9" width="17.25" customWidth="1"/>
    <col min="10" max="10" width="54.875" customWidth="1"/>
    <col min="11" max="11" width="12.625" bestFit="1" customWidth="1"/>
    <col min="12" max="12" width="12.625" customWidth="1"/>
    <col min="13" max="13" width="5.25" hidden="1" customWidth="1"/>
    <col min="14" max="15" width="9" hidden="1" customWidth="1"/>
    <col min="16" max="17" width="5.25" hidden="1" customWidth="1"/>
    <col min="18" max="24" width="9" hidden="1" customWidth="1"/>
    <col min="25" max="26" width="11" hidden="1" customWidth="1"/>
    <col min="27" max="27" width="9" hidden="1" customWidth="1"/>
    <col min="28" max="28" width="5.25" hidden="1" customWidth="1"/>
    <col min="29" max="30" width="9" hidden="1" customWidth="1"/>
    <col min="31" max="32" width="5.25" hidden="1" customWidth="1"/>
    <col min="33" max="34" width="9" hidden="1" customWidth="1"/>
    <col min="35" max="35" width="7.5" hidden="1" customWidth="1"/>
    <col min="36" max="37" width="7.125" hidden="1" customWidth="1"/>
    <col min="38" max="38" width="9" hidden="1" customWidth="1"/>
    <col min="39" max="40" width="9.5" hidden="1" customWidth="1"/>
    <col min="41" max="43" width="9" hidden="1" customWidth="1"/>
    <col min="44" max="44" width="7.125" hidden="1" customWidth="1"/>
    <col min="45" max="45" width="19.125" hidden="1" customWidth="1"/>
    <col min="46" max="47" width="5.25" hidden="1" customWidth="1"/>
  </cols>
  <sheetData>
    <row r="1" spans="1:47" ht="24" x14ac:dyDescent="0.5">
      <c r="A1" s="255" t="str">
        <f>お知らせ・記入要領!$A$1</f>
        <v>第44回 キャロットステークス 申込書</v>
      </c>
      <c r="B1" s="262"/>
      <c r="C1" s="262"/>
      <c r="D1" s="262"/>
      <c r="E1" s="262"/>
      <c r="F1" s="262"/>
      <c r="G1" s="262"/>
      <c r="H1" s="262"/>
      <c r="I1" s="262"/>
      <c r="J1" s="117"/>
      <c r="AC1" t="s">
        <v>361</v>
      </c>
      <c r="AS1" t="str">
        <f>ADDRESS(ROW(選手登録!$AS$8),COLUMN(選手登録!$AS$8),1,1,"選手登録") &amp;":"&amp;ADDRESS(ROW(選手登録!$AS$8)+選手登録!$AT$6-1,COLUMN(選手登録!$AS$8)-1,1,1)</f>
        <v>選手登録!$AS$8:$AR$7</v>
      </c>
    </row>
    <row r="2" spans="1:47" ht="19.5" x14ac:dyDescent="0.4">
      <c r="A2" s="257" t="s">
        <v>218</v>
      </c>
      <c r="B2" s="263"/>
      <c r="C2" s="263"/>
      <c r="D2" s="263"/>
      <c r="E2" s="263"/>
      <c r="F2" s="263"/>
      <c r="G2" s="263"/>
      <c r="H2" s="263"/>
      <c r="I2" s="263"/>
      <c r="J2" s="118"/>
      <c r="K2" s="44" t="s">
        <v>330</v>
      </c>
      <c r="AC2" t="s">
        <v>216</v>
      </c>
      <c r="AD2" t="str">
        <f>ADDRESS(ROW(選手登録!$AC$7),COLUMN(選手登録!$AC$8),1,1,"選手登録") &amp;":"&amp;ADDRESS(ROW(選手登録!$AC$8)+選手登録!$AT$6,COLUMN(選手登録!$AC$8),1,1)</f>
        <v>選手登録!$AC$7:$AC$8</v>
      </c>
      <c r="AS2" t="str">
        <f>ADDRESS(ROW(選手登録!$AR$8),COLUMN(選手登録!$AR$8),1,1,"選手登録") &amp;":"&amp;ADDRESS(ROW(選手登録!$AR$8)+選手登録!$AT$6-1,COLUMN(選手登録!$AR$8)+2,1,1)</f>
        <v>選手登録!$AR$8:$AT$7</v>
      </c>
    </row>
    <row r="3" spans="1:47" ht="24" customHeight="1" x14ac:dyDescent="0.4">
      <c r="A3" s="495" t="str">
        <f>"団体名：" &amp; 団体登録!B7</f>
        <v>団体名：</v>
      </c>
      <c r="B3" s="495"/>
      <c r="C3" s="495"/>
      <c r="D3" s="495"/>
      <c r="E3" s="495"/>
      <c r="G3" s="361" t="s">
        <v>380</v>
      </c>
      <c r="H3" s="23" t="s">
        <v>98</v>
      </c>
      <c r="I3" s="169" t="str">
        <f>IF(団体登録!$J$3&lt;&gt;"",団体登録!$J$3,"")</f>
        <v/>
      </c>
      <c r="J3" s="119"/>
      <c r="K3" s="44" cm="1">
        <f t="array" ref="K3">SUMPRODUCT((B8:B57&lt;&gt;"")*1)</f>
        <v>0</v>
      </c>
      <c r="AS3" t="str">
        <f>ADDRESS(ROW(選手登録!$AS$8),COLUMN(選手登録!$AS$8),1,1,"選手登録") &amp;":"&amp;ADDRESS(ROW(選手登録!$AS$8)+選手登録!$AT$6-1,COLUMN(選手登録!$AS$8),1,1)</f>
        <v>選手登録!$AS$8:$AS$7</v>
      </c>
    </row>
    <row r="4" spans="1:47" s="170" customFormat="1" x14ac:dyDescent="0.4">
      <c r="A4" s="210" t="str">
        <f>" *1 同姓同名の選手がいる場合は、名前の後ろにA,Bを付けるなどして、区別できるように記入してください。"</f>
        <v xml:space="preserve"> *1 同姓同名の選手がいる場合は、名前の後ろにA,Bを付けるなどして、区別できるように記入してください。</v>
      </c>
      <c r="B4" s="210"/>
      <c r="C4" s="210"/>
      <c r="D4" s="210"/>
      <c r="E4" s="210"/>
      <c r="F4" s="210"/>
      <c r="G4" s="210"/>
      <c r="H4" s="210"/>
      <c r="I4" s="344" t="str">
        <f>IF(_xlfn.CONCAT($J$8:$J$57)&lt;&gt;"","※ 右の確認メッセージ欄を確認して修正してください⤵","")</f>
        <v/>
      </c>
      <c r="J4" s="208"/>
    </row>
    <row r="5" spans="1:47" ht="18" customHeight="1" thickBot="1" x14ac:dyDescent="0.45">
      <c r="A5" s="382" t="str">
        <f>" *2 "&amp;マスタ!D6&amp;"時点で未成年の場合、未成年と入力してください。必要があれば「未成年者の落馬後の再騎乗に関する保護者からの委任状」を選手毎に提出してください。"</f>
        <v xml:space="preserve"> *2 2023年9月29日(金)時点で未成年の場合、未成年と入力してください。必要があれば「未成年者の落馬後の再騎乗に関する保護者からの委任状」を選手毎に提出してください。</v>
      </c>
      <c r="B5" s="382"/>
      <c r="C5" s="382"/>
      <c r="D5" s="382"/>
      <c r="E5" s="382"/>
      <c r="F5" s="382"/>
      <c r="G5" s="382"/>
      <c r="H5" s="382"/>
      <c r="I5" s="382"/>
      <c r="J5" s="120"/>
      <c r="M5" t="s">
        <v>246</v>
      </c>
      <c r="AB5" t="s">
        <v>121</v>
      </c>
      <c r="AP5" t="s">
        <v>365</v>
      </c>
    </row>
    <row r="6" spans="1:47" ht="41.25" customHeight="1" x14ac:dyDescent="0.4">
      <c r="A6" s="493" t="s">
        <v>24</v>
      </c>
      <c r="B6" s="498" t="s">
        <v>1762</v>
      </c>
      <c r="C6" s="498"/>
      <c r="D6" s="498" t="s">
        <v>1763</v>
      </c>
      <c r="E6" s="498"/>
      <c r="F6" s="496" t="s">
        <v>283</v>
      </c>
      <c r="G6" s="499" t="s">
        <v>1830</v>
      </c>
      <c r="H6" s="499" t="s">
        <v>381</v>
      </c>
      <c r="I6" s="491" t="s">
        <v>1832</v>
      </c>
      <c r="J6" s="139" t="s">
        <v>148</v>
      </c>
      <c r="K6" s="121" t="s">
        <v>328</v>
      </c>
      <c r="L6" s="1"/>
      <c r="M6" s="44"/>
      <c r="N6" s="44"/>
      <c r="O6" s="44"/>
      <c r="P6" s="44"/>
      <c r="Q6" s="44"/>
      <c r="R6" s="44"/>
      <c r="S6" s="44"/>
      <c r="T6" s="44"/>
      <c r="U6" s="44"/>
      <c r="V6" s="44"/>
      <c r="W6" s="335" t="s">
        <v>360</v>
      </c>
      <c r="X6" s="341"/>
      <c r="Y6" s="341"/>
      <c r="Z6" s="342"/>
      <c r="AB6" s="44" t="s">
        <v>24</v>
      </c>
      <c r="AC6" s="44" t="s">
        <v>31</v>
      </c>
      <c r="AD6" s="44" t="s">
        <v>1736</v>
      </c>
      <c r="AE6" s="44" t="s">
        <v>282</v>
      </c>
      <c r="AF6" s="44" t="s">
        <v>118</v>
      </c>
      <c r="AG6" s="44" t="s">
        <v>90</v>
      </c>
      <c r="AH6" s="44" t="s">
        <v>91</v>
      </c>
      <c r="AI6" s="44" t="s">
        <v>119</v>
      </c>
      <c r="AJ6" s="44" t="s">
        <v>321</v>
      </c>
      <c r="AK6" s="44" t="s">
        <v>325</v>
      </c>
      <c r="AL6" s="44" t="s">
        <v>326</v>
      </c>
      <c r="AM6" s="44" t="s">
        <v>329</v>
      </c>
      <c r="AN6" s="44" t="s">
        <v>338</v>
      </c>
      <c r="AP6" s="44" t="s">
        <v>362</v>
      </c>
      <c r="AQ6" s="44"/>
      <c r="AR6" s="44" t="s">
        <v>357</v>
      </c>
      <c r="AS6" s="44"/>
      <c r="AT6" s="122" cm="1">
        <f t="array" ref="AT6">SUMPRODUCT((選手登録!$AT$8:$AT$57&lt;&gt;"")*1)</f>
        <v>0</v>
      </c>
      <c r="AU6" s="44"/>
    </row>
    <row r="7" spans="1:47" ht="38.25" customHeight="1" thickBot="1" x14ac:dyDescent="0.45">
      <c r="A7" s="494"/>
      <c r="B7" s="179" t="s">
        <v>25</v>
      </c>
      <c r="C7" s="168" t="s">
        <v>26</v>
      </c>
      <c r="D7" s="168" t="s">
        <v>27</v>
      </c>
      <c r="E7" s="168" t="s">
        <v>28</v>
      </c>
      <c r="F7" s="497"/>
      <c r="G7" s="500"/>
      <c r="H7" s="500"/>
      <c r="I7" s="492"/>
      <c r="J7" s="171" t="s">
        <v>1732</v>
      </c>
      <c r="K7" s="124"/>
      <c r="L7" s="1"/>
      <c r="M7" s="27" t="s">
        <v>24</v>
      </c>
      <c r="N7" s="44" t="s">
        <v>31</v>
      </c>
      <c r="O7" s="44" t="s">
        <v>123</v>
      </c>
      <c r="P7" s="44" t="s">
        <v>24</v>
      </c>
      <c r="Q7" s="44" t="s">
        <v>282</v>
      </c>
      <c r="R7" s="44" t="s">
        <v>120</v>
      </c>
      <c r="S7" s="44" t="s">
        <v>90</v>
      </c>
      <c r="T7" s="44" t="s">
        <v>91</v>
      </c>
      <c r="U7" s="44" t="s">
        <v>119</v>
      </c>
      <c r="V7" s="44" t="s">
        <v>329</v>
      </c>
      <c r="W7" s="44" t="s">
        <v>327</v>
      </c>
      <c r="X7" s="44" t="s">
        <v>356</v>
      </c>
      <c r="Y7" s="44" t="s">
        <v>343</v>
      </c>
      <c r="Z7" s="28" t="s">
        <v>1718</v>
      </c>
      <c r="AB7" s="44"/>
      <c r="AC7" s="44"/>
      <c r="AD7" s="44"/>
      <c r="AE7" s="44"/>
      <c r="AF7" s="44"/>
      <c r="AG7" s="44"/>
      <c r="AH7" s="44"/>
      <c r="AI7" s="44"/>
      <c r="AJ7" s="44"/>
      <c r="AK7" s="44"/>
      <c r="AL7" s="44"/>
      <c r="AM7" s="44"/>
      <c r="AN7" s="44"/>
      <c r="AP7" s="44">
        <v>0</v>
      </c>
      <c r="AQ7" s="44"/>
      <c r="AR7" s="44" t="s">
        <v>358</v>
      </c>
      <c r="AS7" s="44" t="s">
        <v>359</v>
      </c>
      <c r="AT7" s="44" t="s">
        <v>363</v>
      </c>
      <c r="AU7" s="44" t="s">
        <v>364</v>
      </c>
    </row>
    <row r="8" spans="1:47" ht="21.95" customHeight="1" x14ac:dyDescent="0.4">
      <c r="A8" s="172">
        <v>1</v>
      </c>
      <c r="B8" s="135"/>
      <c r="C8" s="135"/>
      <c r="D8" s="135"/>
      <c r="E8" s="135"/>
      <c r="F8" s="130"/>
      <c r="G8" s="129"/>
      <c r="H8" s="135"/>
      <c r="I8" s="140"/>
      <c r="J8" s="131" t="str">
        <f>IF(OR(AND($S8=0,$R8&lt;&gt;2),AND($S8&lt;&gt;0,$R8=2)),リスト!$Y$3,IF(OR($W8&gt;0,$X8&gt;0),リスト!$Y$4,IF(AND($Q8=1,OR($R8=4,$R8=5)),リスト!$Y$5,IF($Y8&gt;0,リスト!$Y$6,IF($Z8&gt;0,リスト!$Y$7,"")))))</f>
        <v/>
      </c>
      <c r="K8" s="132" t="str">
        <f>IF($N8&lt;&gt;"",COUNTIF(エントリー!$R$8:$R$87,$M8),"")</f>
        <v/>
      </c>
      <c r="M8" s="44">
        <f t="shared" ref="M8:M39" si="0">A8</f>
        <v>1</v>
      </c>
      <c r="N8" s="44" t="str">
        <f>IF(B8&lt;&gt;"",SUBSTITUTE(SUBSTITUTE($B8,"　","")," ","")&amp;" "&amp;SUBSTITUTE(SUBSTITUTE($C8,"　","")," ",""),"")</f>
        <v/>
      </c>
      <c r="O8" s="44" t="str">
        <f>IF(B8&lt;&gt;"",SUBSTITUTE(SUBSTITUTE($D8,"　","")," ","")&amp;" "&amp;SUBSTITUTE(SUBSTITUTE($E8,"　","")," ",""),"")</f>
        <v/>
      </c>
      <c r="P8" s="44">
        <f t="shared" ref="P8" si="1">M8</f>
        <v>1</v>
      </c>
      <c r="Q8" s="44" t="str">
        <f>IFERROR(VLOOKUP(F8,リスト!$N$2:$O$3,2,FALSE),"")</f>
        <v/>
      </c>
      <c r="R8" s="44" t="str">
        <f>IFERROR(VLOOKUP(G8,リスト!$B$2:$C$7,2,FALSE),"")</f>
        <v/>
      </c>
      <c r="S8" s="44" t="str">
        <f>IFERROR(VLOOKUP(H8,リスト!$F$10:$H$51,2,FALSE),"")</f>
        <v/>
      </c>
      <c r="T8" s="44" t="str">
        <f>IFERROR(VLOOKUP(H8,リスト!$F$10:$H$51,3,FALSE),"")</f>
        <v/>
      </c>
      <c r="U8" s="44" t="str">
        <f>IF(I8&lt;&gt;"",SUBSTITUTE(SUBSTITUTE(ASC($I8),"　","")," ",""),"")</f>
        <v/>
      </c>
      <c r="V8" s="44" t="str">
        <f>IF(K8&lt;&gt;"",K8,"")</f>
        <v/>
      </c>
      <c r="W8" s="44">
        <f>IF($N8&lt;&gt;"",IFERROR(IF(COUNTIF($N$8:$N$57,N8)&gt;1,1,0),1),0)</f>
        <v>0</v>
      </c>
      <c r="X8" s="44">
        <f>IF($O8&lt;&gt;"",IFERROR(IF(COUNTIF($O$8:$O$57,O8)&gt;1,1,0),1),0)</f>
        <v>0</v>
      </c>
      <c r="Y8" s="44">
        <f>IF($I8&lt;&gt;"",IFERROR(IF(COUNTIF($I$8:$I$57,I8)&gt;1,1,0),1),0)</f>
        <v>0</v>
      </c>
      <c r="Z8" s="44">
        <f>IF($U8&lt;&gt;"",IFERROR(IF(OR(LEN($U8)&gt;5,ISERROR(VALUE($U8))),1,0),1),0)</f>
        <v>0</v>
      </c>
      <c r="AB8" s="44" t="str">
        <f ca="1">IF(AU8&lt;&gt;"",AU8,"")</f>
        <v/>
      </c>
      <c r="AC8" s="44" t="str">
        <f ca="1">IF(AB8&lt;&gt;"",VLOOKUP($AB8,$M$8:$V$57,2),"")</f>
        <v/>
      </c>
      <c r="AD8" s="44" t="str">
        <f ca="1">IF(AB8&lt;&gt;"",VLOOKUP($AB8,$M$8:$V$57,3),"")</f>
        <v/>
      </c>
      <c r="AE8" s="44" t="str">
        <f ca="1">IF(AB8&lt;&gt;"",VLOOKUP($AB8,$M$8:$V$57,5),"")</f>
        <v/>
      </c>
      <c r="AF8" s="44" t="str">
        <f ca="1">IF(AB8&lt;&gt;"",VLOOKUP($AB8,$M$8:$V$57,6),"")</f>
        <v/>
      </c>
      <c r="AG8" s="44" t="str">
        <f ca="1">IF(AB8&lt;&gt;"",VLOOKUP($AB8,$M$8:$V$57,7),"")</f>
        <v/>
      </c>
      <c r="AH8" s="44" t="str">
        <f ca="1">IF(AB8&lt;&gt;"",VLOOKUP($AB8,$M$8:$V$57,8),"")</f>
        <v/>
      </c>
      <c r="AI8" s="44" t="str">
        <f ca="1">IF(AB8&lt;&gt;"",VLOOKUP($AB8,$M$8:$V$57,9),"")</f>
        <v/>
      </c>
      <c r="AJ8" s="44"/>
      <c r="AK8" s="44"/>
      <c r="AL8" s="44"/>
      <c r="AM8" s="44" t="str">
        <f ca="1">IF(AC8&lt;&gt;"",VLOOKUP($AB8,$M$8:$V$57,10),"")</f>
        <v/>
      </c>
      <c r="AN8" s="44" t="str">
        <f ca="1">IF($AB8&lt;&gt;"",SUM(INDIRECT(ADDRESS(ROW($AB$7)+MATCH($AB8,$M$8:$M$107,0),COLUMN($W$8),1,1)&amp;":"&amp;ADDRESS(ROW($AB$7)+MATCH($AB8,$M$8:$M$107,0),COLUMN($Z$8),1,1))),"")</f>
        <v/>
      </c>
      <c r="AP8" s="44">
        <f t="shared" ref="AP8" si="2">IF(N8&lt;&gt;"",AP7+1,AP7)</f>
        <v>0</v>
      </c>
      <c r="AQ8" s="44">
        <f t="shared" ref="AQ8" si="3">M8</f>
        <v>1</v>
      </c>
      <c r="AR8" s="44" t="str">
        <f ca="1">IF(AT8&lt;&gt;"",COUNTIF(INDIRECT($AS$3),"&lt;"&amp;AS8)+1,"")</f>
        <v/>
      </c>
      <c r="AS8" s="44" t="str">
        <f t="shared" ref="AS8" si="4">IF(AT8&lt;&gt;"",VLOOKUP($AT8,$M$8:$O$57,3)&amp;TEXT(AT8,"-000"),"")</f>
        <v/>
      </c>
      <c r="AT8" s="44" t="str">
        <f t="shared" ref="AT8:AT57" si="5">IFERROR(VLOOKUP(ROW(AT8)-ROW($AT$8)+1,$AP$8:$AQ$57,2,FALSE),"")</f>
        <v/>
      </c>
      <c r="AU8" s="44" t="str">
        <f ca="1">IF(AT8&lt;&gt;"",VLOOKUP(SMALL(INDIRECT($AS$1),ROW(A1)),INDIRECT($AS$2),3,FALSE),"")</f>
        <v/>
      </c>
    </row>
    <row r="9" spans="1:47" ht="21.95" customHeight="1" x14ac:dyDescent="0.4">
      <c r="A9" s="167">
        <v>2</v>
      </c>
      <c r="B9" s="133"/>
      <c r="C9" s="133"/>
      <c r="D9" s="133"/>
      <c r="E9" s="133"/>
      <c r="F9" s="58"/>
      <c r="G9" s="57"/>
      <c r="H9" s="133"/>
      <c r="I9" s="141"/>
      <c r="J9" s="125" t="str">
        <f>IF(OR(AND($S9=0,$R9&lt;&gt;2),AND($S9&lt;&gt;0,$R9=2)),リスト!$Y$3,IF(OR($W9&gt;0,$X9&gt;0),リスト!$Y$4,IF(AND($Q9=1,OR($R9=4,$R9=5)),リスト!$Y$5,IF($Y9&gt;0,リスト!$Y$6,IF($Z9&gt;0,リスト!$Y$7,"")))))</f>
        <v/>
      </c>
      <c r="K9" s="126" t="str">
        <f>IF($N9&lt;&gt;"",COUNTIF(エントリー!$R$8:$R$87,$M9),"")</f>
        <v/>
      </c>
      <c r="M9" s="44">
        <f t="shared" si="0"/>
        <v>2</v>
      </c>
      <c r="N9" s="44" t="str">
        <f t="shared" ref="N9:N57" si="6">IF(B9&lt;&gt;"",SUBSTITUTE(SUBSTITUTE($B9,"　","")," ","")&amp;" "&amp;SUBSTITUTE(SUBSTITUTE($C9,"　","")," ",""),"")</f>
        <v/>
      </c>
      <c r="O9" s="44" t="str">
        <f t="shared" ref="O9:O57" si="7">IF(B9&lt;&gt;"",SUBSTITUTE(SUBSTITUTE($D9,"　","")," ","")&amp;" "&amp;SUBSTITUTE(SUBSTITUTE($E9,"　","")," ",""),"")</f>
        <v/>
      </c>
      <c r="P9" s="44">
        <f t="shared" ref="P9:P57" si="8">M9</f>
        <v>2</v>
      </c>
      <c r="Q9" s="44" t="str">
        <f>IFERROR(VLOOKUP(F9,リスト!$N$2:$O$3,2,FALSE),"")</f>
        <v/>
      </c>
      <c r="R9" s="44" t="str">
        <f>IFERROR(VLOOKUP(G9,リスト!$B$2:$C$7,2,FALSE),"")</f>
        <v/>
      </c>
      <c r="S9" s="44" t="str">
        <f>IFERROR(VLOOKUP(H9,リスト!$F$10:$H$51,2,FALSE),"")</f>
        <v/>
      </c>
      <c r="T9" s="44" t="str">
        <f>IFERROR(VLOOKUP(H9,リスト!$F$10:$H$51,3,FALSE),"")</f>
        <v/>
      </c>
      <c r="U9" s="44" t="str">
        <f t="shared" ref="U9:U57" si="9">IF(I9&lt;&gt;"",SUBSTITUTE(SUBSTITUTE(ASC($I9),"　","")," ",""),"")</f>
        <v/>
      </c>
      <c r="V9" s="44" t="str">
        <f t="shared" ref="V9:V57" si="10">IF(K9&lt;&gt;"",K9,"")</f>
        <v/>
      </c>
      <c r="W9" s="44">
        <f t="shared" ref="W9:W57" si="11">IF($N9&lt;&gt;"",IFERROR(IF(COUNTIF($N$8:$N$57,N9)&gt;1,1,0),1),0)</f>
        <v>0</v>
      </c>
      <c r="X9" s="44">
        <f t="shared" ref="X9:X57" si="12">IF($O9&lt;&gt;"",IFERROR(IF(COUNTIF($O$8:$O$57,O9)&gt;1,1,0),1),0)</f>
        <v>0</v>
      </c>
      <c r="Y9" s="44">
        <f t="shared" ref="Y9:Y57" si="13">IF($I9&lt;&gt;"",IFERROR(IF(COUNTIF($I$8:$I$57,I9)&gt;1,1,0),1),0)</f>
        <v>0</v>
      </c>
      <c r="Z9" s="44">
        <f t="shared" ref="Z9:Z57" si="14">IF($U9&lt;&gt;"",IFERROR(IF(OR(LEN($U9)&gt;5,ISERROR(VALUE($U9))),1,0),1),0)</f>
        <v>0</v>
      </c>
      <c r="AB9" s="44" t="str">
        <f t="shared" ref="AB9:AB57" ca="1" si="15">IF(AU9&lt;&gt;"",AU9,"")</f>
        <v/>
      </c>
      <c r="AC9" s="44" t="str">
        <f t="shared" ref="AC9:AC57" ca="1" si="16">IF(AB9&lt;&gt;"",VLOOKUP($AB9,$M$8:$V$57,2),"")</f>
        <v/>
      </c>
      <c r="AD9" s="44" t="str">
        <f t="shared" ref="AD9:AD57" ca="1" si="17">IF(AB9&lt;&gt;"",VLOOKUP($AB9,$M$8:$V$57,3),"")</f>
        <v/>
      </c>
      <c r="AE9" s="44" t="str">
        <f t="shared" ref="AE9:AE57" ca="1" si="18">IF(AB9&lt;&gt;"",VLOOKUP($AB9,$M$8:$V$57,5),"")</f>
        <v/>
      </c>
      <c r="AF9" s="44" t="str">
        <f t="shared" ref="AF9:AF57" ca="1" si="19">IF(AB9&lt;&gt;"",VLOOKUP($AB9,$M$8:$V$57,6),"")</f>
        <v/>
      </c>
      <c r="AG9" s="44" t="str">
        <f t="shared" ref="AG9:AG57" ca="1" si="20">IF(AB9&lt;&gt;"",VLOOKUP($AB9,$M$8:$V$57,7),"")</f>
        <v/>
      </c>
      <c r="AH9" s="44" t="str">
        <f t="shared" ref="AH9:AH57" ca="1" si="21">IF(AB9&lt;&gt;"",VLOOKUP($AB9,$M$8:$V$57,8),"")</f>
        <v/>
      </c>
      <c r="AI9" s="44" t="str">
        <f t="shared" ref="AI9:AI57" ca="1" si="22">IF(AB9&lt;&gt;"",VLOOKUP($AB9,$M$8:$V$57,9),"")</f>
        <v/>
      </c>
      <c r="AJ9" s="44"/>
      <c r="AK9" s="44"/>
      <c r="AL9" s="44"/>
      <c r="AM9" s="44" t="str">
        <f t="shared" ref="AM9:AM57" ca="1" si="23">IF(AC9&lt;&gt;"",VLOOKUP($AB9,$M$8:$V$57,10),"")</f>
        <v/>
      </c>
      <c r="AN9" s="44" t="str">
        <f t="shared" ref="AN9:AN57" ca="1" si="24">IF($AB9&lt;&gt;"",SUM(INDIRECT(ADDRESS(ROW($AB$7)+MATCH($AB9,$M$8:$M$107,0),COLUMN($W$8),1,1)&amp;":"&amp;ADDRESS(ROW($AB$7)+MATCH($AB9,$M$8:$M$107,0),COLUMN($Z$8),1,1))),"")</f>
        <v/>
      </c>
      <c r="AP9" s="44">
        <f t="shared" ref="AP9:AP57" si="25">IF(N9&lt;&gt;"",AP8+1,AP8)</f>
        <v>0</v>
      </c>
      <c r="AQ9" s="44">
        <f t="shared" ref="AQ9:AQ57" si="26">M9</f>
        <v>2</v>
      </c>
      <c r="AR9" s="44" t="str">
        <f t="shared" ref="AR9:AR57" ca="1" si="27">IF(AT9&lt;&gt;"",COUNTIF(INDIRECT($AS$3),"&lt;"&amp;AS9)+1,"")</f>
        <v/>
      </c>
      <c r="AS9" s="44" t="str">
        <f t="shared" ref="AS9:AS57" si="28">IF(AT9&lt;&gt;"",VLOOKUP($AT9,$M$8:$O$57,3)&amp;TEXT(AT9,"-000"),"")</f>
        <v/>
      </c>
      <c r="AT9" s="44" t="str">
        <f t="shared" si="5"/>
        <v/>
      </c>
      <c r="AU9" s="44" t="str">
        <f t="shared" ref="AU9:AU57" ca="1" si="29">IF(AT9&lt;&gt;"",VLOOKUP(SMALL(INDIRECT($AS$1),ROW(A2)),INDIRECT($AS$2),3,FALSE),"")</f>
        <v/>
      </c>
    </row>
    <row r="10" spans="1:47" ht="21.95" customHeight="1" x14ac:dyDescent="0.4">
      <c r="A10" s="167">
        <v>3</v>
      </c>
      <c r="B10" s="133"/>
      <c r="C10" s="133"/>
      <c r="D10" s="133"/>
      <c r="E10" s="133"/>
      <c r="F10" s="58"/>
      <c r="G10" s="57"/>
      <c r="H10" s="133"/>
      <c r="I10" s="141"/>
      <c r="J10" s="125" t="str">
        <f>IF(OR(AND($S10=0,$R10&lt;&gt;2),AND($S10&lt;&gt;0,$R10=2)),リスト!$Y$3,IF(OR($W10&gt;0,$X10&gt;0),リスト!$Y$4,IF(AND($Q10=1,OR($R10=4,$R10=5)),リスト!$Y$5,IF($Y10&gt;0,リスト!$Y$6,IF($Z10&gt;0,リスト!$Y$7,"")))))</f>
        <v/>
      </c>
      <c r="K10" s="126" t="str">
        <f>IF($N10&lt;&gt;"",COUNTIF(エントリー!$R$8:$R$87,$M10),"")</f>
        <v/>
      </c>
      <c r="M10" s="44">
        <f t="shared" si="0"/>
        <v>3</v>
      </c>
      <c r="N10" s="44" t="str">
        <f t="shared" si="6"/>
        <v/>
      </c>
      <c r="O10" s="44" t="str">
        <f t="shared" si="7"/>
        <v/>
      </c>
      <c r="P10" s="44">
        <f t="shared" si="8"/>
        <v>3</v>
      </c>
      <c r="Q10" s="44" t="str">
        <f>IFERROR(VLOOKUP(F10,リスト!$N$2:$O$3,2,FALSE),"")</f>
        <v/>
      </c>
      <c r="R10" s="44" t="str">
        <f>IFERROR(VLOOKUP(G10,リスト!$B$2:$C$7,2,FALSE),"")</f>
        <v/>
      </c>
      <c r="S10" s="44" t="str">
        <f>IFERROR(VLOOKUP(H10,リスト!$F$10:$H$51,2,FALSE),"")</f>
        <v/>
      </c>
      <c r="T10" s="44" t="str">
        <f>IFERROR(VLOOKUP(H10,リスト!$F$10:$H$51,3,FALSE),"")</f>
        <v/>
      </c>
      <c r="U10" s="44" t="str">
        <f t="shared" si="9"/>
        <v/>
      </c>
      <c r="V10" s="44" t="str">
        <f t="shared" si="10"/>
        <v/>
      </c>
      <c r="W10" s="44">
        <f t="shared" si="11"/>
        <v>0</v>
      </c>
      <c r="X10" s="44">
        <f t="shared" si="12"/>
        <v>0</v>
      </c>
      <c r="Y10" s="44">
        <f t="shared" si="13"/>
        <v>0</v>
      </c>
      <c r="Z10" s="44">
        <f t="shared" si="14"/>
        <v>0</v>
      </c>
      <c r="AB10" s="44" t="str">
        <f t="shared" ca="1" si="15"/>
        <v/>
      </c>
      <c r="AC10" s="44" t="str">
        <f t="shared" ca="1" si="16"/>
        <v/>
      </c>
      <c r="AD10" s="44" t="str">
        <f t="shared" ca="1" si="17"/>
        <v/>
      </c>
      <c r="AE10" s="44" t="str">
        <f t="shared" ca="1" si="18"/>
        <v/>
      </c>
      <c r="AF10" s="44" t="str">
        <f t="shared" ca="1" si="19"/>
        <v/>
      </c>
      <c r="AG10" s="44" t="str">
        <f t="shared" ca="1" si="20"/>
        <v/>
      </c>
      <c r="AH10" s="44" t="str">
        <f t="shared" ca="1" si="21"/>
        <v/>
      </c>
      <c r="AI10" s="44" t="str">
        <f t="shared" ca="1" si="22"/>
        <v/>
      </c>
      <c r="AJ10" s="44"/>
      <c r="AK10" s="44"/>
      <c r="AL10" s="44"/>
      <c r="AM10" s="44" t="str">
        <f t="shared" ca="1" si="23"/>
        <v/>
      </c>
      <c r="AN10" s="44" t="str">
        <f t="shared" ca="1" si="24"/>
        <v/>
      </c>
      <c r="AP10" s="44">
        <f t="shared" si="25"/>
        <v>0</v>
      </c>
      <c r="AQ10" s="44">
        <f t="shared" si="26"/>
        <v>3</v>
      </c>
      <c r="AR10" s="44" t="str">
        <f t="shared" ca="1" si="27"/>
        <v/>
      </c>
      <c r="AS10" s="44" t="str">
        <f t="shared" si="28"/>
        <v/>
      </c>
      <c r="AT10" s="44" t="str">
        <f t="shared" si="5"/>
        <v/>
      </c>
      <c r="AU10" s="44" t="str">
        <f t="shared" ca="1" si="29"/>
        <v/>
      </c>
    </row>
    <row r="11" spans="1:47" ht="21.95" customHeight="1" x14ac:dyDescent="0.4">
      <c r="A11" s="167">
        <v>4</v>
      </c>
      <c r="B11" s="133"/>
      <c r="C11" s="133"/>
      <c r="D11" s="133"/>
      <c r="E11" s="133"/>
      <c r="F11" s="58"/>
      <c r="G11" s="57"/>
      <c r="H11" s="133"/>
      <c r="I11" s="141"/>
      <c r="J11" s="125" t="str">
        <f>IF(OR(AND($S11=0,$R11&lt;&gt;2),AND($S11&lt;&gt;0,$R11=2)),リスト!$Y$3,IF(OR($W11&gt;0,$X11&gt;0),リスト!$Y$4,IF(AND($Q11=1,OR($R11=4,$R11=5)),リスト!$Y$5,IF($Y11&gt;0,リスト!$Y$6,IF($Z11&gt;0,リスト!$Y$7,"")))))</f>
        <v/>
      </c>
      <c r="K11" s="126" t="str">
        <f>IF($N11&lt;&gt;"",COUNTIF(エントリー!$R$8:$R$87,$M11),"")</f>
        <v/>
      </c>
      <c r="M11" s="44">
        <f t="shared" si="0"/>
        <v>4</v>
      </c>
      <c r="N11" s="44" t="str">
        <f t="shared" si="6"/>
        <v/>
      </c>
      <c r="O11" s="44" t="str">
        <f t="shared" si="7"/>
        <v/>
      </c>
      <c r="P11" s="44">
        <f t="shared" si="8"/>
        <v>4</v>
      </c>
      <c r="Q11" s="44" t="str">
        <f>IFERROR(VLOOKUP(F11,リスト!$N$2:$O$3,2,FALSE),"")</f>
        <v/>
      </c>
      <c r="R11" s="44" t="str">
        <f>IFERROR(VLOOKUP(G11,リスト!$B$2:$C$7,2,FALSE),"")</f>
        <v/>
      </c>
      <c r="S11" s="44" t="str">
        <f>IFERROR(VLOOKUP(H11,リスト!$F$10:$H$51,2,FALSE),"")</f>
        <v/>
      </c>
      <c r="T11" s="44" t="str">
        <f>IFERROR(VLOOKUP(H11,リスト!$F$10:$H$51,3,FALSE),"")</f>
        <v/>
      </c>
      <c r="U11" s="44" t="str">
        <f t="shared" si="9"/>
        <v/>
      </c>
      <c r="V11" s="44" t="str">
        <f t="shared" si="10"/>
        <v/>
      </c>
      <c r="W11" s="44">
        <f t="shared" si="11"/>
        <v>0</v>
      </c>
      <c r="X11" s="44">
        <f t="shared" si="12"/>
        <v>0</v>
      </c>
      <c r="Y11" s="44">
        <f t="shared" si="13"/>
        <v>0</v>
      </c>
      <c r="Z11" s="44">
        <f t="shared" si="14"/>
        <v>0</v>
      </c>
      <c r="AB11" s="44" t="str">
        <f t="shared" ca="1" si="15"/>
        <v/>
      </c>
      <c r="AC11" s="44" t="str">
        <f t="shared" ca="1" si="16"/>
        <v/>
      </c>
      <c r="AD11" s="44" t="str">
        <f t="shared" ca="1" si="17"/>
        <v/>
      </c>
      <c r="AE11" s="44" t="str">
        <f t="shared" ca="1" si="18"/>
        <v/>
      </c>
      <c r="AF11" s="44" t="str">
        <f t="shared" ca="1" si="19"/>
        <v/>
      </c>
      <c r="AG11" s="44" t="str">
        <f t="shared" ca="1" si="20"/>
        <v/>
      </c>
      <c r="AH11" s="44" t="str">
        <f t="shared" ca="1" si="21"/>
        <v/>
      </c>
      <c r="AI11" s="44" t="str">
        <f t="shared" ca="1" si="22"/>
        <v/>
      </c>
      <c r="AJ11" s="44"/>
      <c r="AK11" s="44"/>
      <c r="AL11" s="44"/>
      <c r="AM11" s="44" t="str">
        <f t="shared" ca="1" si="23"/>
        <v/>
      </c>
      <c r="AN11" s="44" t="str">
        <f t="shared" ca="1" si="24"/>
        <v/>
      </c>
      <c r="AP11" s="44">
        <f t="shared" si="25"/>
        <v>0</v>
      </c>
      <c r="AQ11" s="44">
        <f t="shared" si="26"/>
        <v>4</v>
      </c>
      <c r="AR11" s="44" t="str">
        <f t="shared" ca="1" si="27"/>
        <v/>
      </c>
      <c r="AS11" s="44" t="str">
        <f t="shared" si="28"/>
        <v/>
      </c>
      <c r="AT11" s="44" t="str">
        <f t="shared" si="5"/>
        <v/>
      </c>
      <c r="AU11" s="44" t="str">
        <f t="shared" ca="1" si="29"/>
        <v/>
      </c>
    </row>
    <row r="12" spans="1:47" ht="21.95" customHeight="1" x14ac:dyDescent="0.4">
      <c r="A12" s="167">
        <v>5</v>
      </c>
      <c r="B12" s="133"/>
      <c r="C12" s="133"/>
      <c r="D12" s="133"/>
      <c r="E12" s="133"/>
      <c r="F12" s="58"/>
      <c r="G12" s="57"/>
      <c r="H12" s="133"/>
      <c r="I12" s="141"/>
      <c r="J12" s="125" t="str">
        <f>IF(OR(AND($S12=0,$R12&lt;&gt;2),AND($S12&lt;&gt;0,$R12=2)),リスト!$Y$3,IF(OR($W12&gt;0,$X12&gt;0),リスト!$Y$4,IF(AND($Q12=1,OR($R12=4,$R12=5)),リスト!$Y$5,IF($Y12&gt;0,リスト!$Y$6,IF($Z12&gt;0,リスト!$Y$7,"")))))</f>
        <v/>
      </c>
      <c r="K12" s="126" t="str">
        <f>IF($N12&lt;&gt;"",COUNTIF(エントリー!$R$8:$R$87,$M12),"")</f>
        <v/>
      </c>
      <c r="M12" s="44">
        <f t="shared" si="0"/>
        <v>5</v>
      </c>
      <c r="N12" s="44" t="str">
        <f t="shared" si="6"/>
        <v/>
      </c>
      <c r="O12" s="44" t="str">
        <f t="shared" si="7"/>
        <v/>
      </c>
      <c r="P12" s="44">
        <f t="shared" si="8"/>
        <v>5</v>
      </c>
      <c r="Q12" s="44" t="str">
        <f>IFERROR(VLOOKUP(F12,リスト!$N$2:$O$3,2,FALSE),"")</f>
        <v/>
      </c>
      <c r="R12" s="44" t="str">
        <f>IFERROR(VLOOKUP(G12,リスト!$B$2:$C$7,2,FALSE),"")</f>
        <v/>
      </c>
      <c r="S12" s="44" t="str">
        <f>IFERROR(VLOOKUP(H12,リスト!$F$10:$H$51,2,FALSE),"")</f>
        <v/>
      </c>
      <c r="T12" s="44" t="str">
        <f>IFERROR(VLOOKUP(H12,リスト!$F$10:$H$51,3,FALSE),"")</f>
        <v/>
      </c>
      <c r="U12" s="44" t="str">
        <f t="shared" si="9"/>
        <v/>
      </c>
      <c r="V12" s="44" t="str">
        <f t="shared" si="10"/>
        <v/>
      </c>
      <c r="W12" s="44">
        <f t="shared" si="11"/>
        <v>0</v>
      </c>
      <c r="X12" s="44">
        <f t="shared" si="12"/>
        <v>0</v>
      </c>
      <c r="Y12" s="44">
        <f t="shared" si="13"/>
        <v>0</v>
      </c>
      <c r="Z12" s="44">
        <f t="shared" si="14"/>
        <v>0</v>
      </c>
      <c r="AB12" s="44" t="str">
        <f t="shared" ca="1" si="15"/>
        <v/>
      </c>
      <c r="AC12" s="44" t="str">
        <f t="shared" ca="1" si="16"/>
        <v/>
      </c>
      <c r="AD12" s="44" t="str">
        <f t="shared" ca="1" si="17"/>
        <v/>
      </c>
      <c r="AE12" s="44" t="str">
        <f t="shared" ca="1" si="18"/>
        <v/>
      </c>
      <c r="AF12" s="44" t="str">
        <f t="shared" ca="1" si="19"/>
        <v/>
      </c>
      <c r="AG12" s="44" t="str">
        <f t="shared" ca="1" si="20"/>
        <v/>
      </c>
      <c r="AH12" s="44" t="str">
        <f t="shared" ca="1" si="21"/>
        <v/>
      </c>
      <c r="AI12" s="44" t="str">
        <f t="shared" ca="1" si="22"/>
        <v/>
      </c>
      <c r="AJ12" s="44"/>
      <c r="AK12" s="44"/>
      <c r="AL12" s="44"/>
      <c r="AM12" s="44" t="str">
        <f t="shared" ca="1" si="23"/>
        <v/>
      </c>
      <c r="AN12" s="44" t="str">
        <f t="shared" ca="1" si="24"/>
        <v/>
      </c>
      <c r="AP12" s="44">
        <f t="shared" si="25"/>
        <v>0</v>
      </c>
      <c r="AQ12" s="44">
        <f t="shared" si="26"/>
        <v>5</v>
      </c>
      <c r="AR12" s="44" t="str">
        <f t="shared" ca="1" si="27"/>
        <v/>
      </c>
      <c r="AS12" s="44" t="str">
        <f t="shared" si="28"/>
        <v/>
      </c>
      <c r="AT12" s="44" t="str">
        <f t="shared" si="5"/>
        <v/>
      </c>
      <c r="AU12" s="44" t="str">
        <f t="shared" ca="1" si="29"/>
        <v/>
      </c>
    </row>
    <row r="13" spans="1:47" ht="21.95" customHeight="1" x14ac:dyDescent="0.4">
      <c r="A13" s="167">
        <v>6</v>
      </c>
      <c r="B13" s="133"/>
      <c r="C13" s="133"/>
      <c r="D13" s="133"/>
      <c r="E13" s="133"/>
      <c r="F13" s="58"/>
      <c r="G13" s="57"/>
      <c r="H13" s="133"/>
      <c r="I13" s="141"/>
      <c r="J13" s="125" t="str">
        <f>IF(OR(AND($S13=0,$R13&lt;&gt;2),AND($S13&lt;&gt;0,$R13=2)),リスト!$Y$3,IF(OR($W13&gt;0,$X13&gt;0),リスト!$Y$4,IF(AND($Q13=1,OR($R13=4,$R13=5)),リスト!$Y$5,IF($Y13&gt;0,リスト!$Y$6,IF($Z13&gt;0,リスト!$Y$7,"")))))</f>
        <v/>
      </c>
      <c r="K13" s="126" t="str">
        <f>IF($N13&lt;&gt;"",COUNTIF(エントリー!$R$8:$R$87,$M13),"")</f>
        <v/>
      </c>
      <c r="M13" s="44">
        <f t="shared" si="0"/>
        <v>6</v>
      </c>
      <c r="N13" s="44" t="str">
        <f t="shared" si="6"/>
        <v/>
      </c>
      <c r="O13" s="44" t="str">
        <f t="shared" si="7"/>
        <v/>
      </c>
      <c r="P13" s="44">
        <f t="shared" si="8"/>
        <v>6</v>
      </c>
      <c r="Q13" s="44" t="str">
        <f>IFERROR(VLOOKUP(F13,リスト!$N$2:$O$3,2,FALSE),"")</f>
        <v/>
      </c>
      <c r="R13" s="44" t="str">
        <f>IFERROR(VLOOKUP(G13,リスト!$B$2:$C$7,2,FALSE),"")</f>
        <v/>
      </c>
      <c r="S13" s="44" t="str">
        <f>IFERROR(VLOOKUP(H13,リスト!$F$10:$H$51,2,FALSE),"")</f>
        <v/>
      </c>
      <c r="T13" s="44" t="str">
        <f>IFERROR(VLOOKUP(H13,リスト!$F$10:$H$51,3,FALSE),"")</f>
        <v/>
      </c>
      <c r="U13" s="44" t="str">
        <f t="shared" si="9"/>
        <v/>
      </c>
      <c r="V13" s="44" t="str">
        <f t="shared" si="10"/>
        <v/>
      </c>
      <c r="W13" s="44">
        <f t="shared" si="11"/>
        <v>0</v>
      </c>
      <c r="X13" s="44">
        <f t="shared" si="12"/>
        <v>0</v>
      </c>
      <c r="Y13" s="44">
        <f t="shared" si="13"/>
        <v>0</v>
      </c>
      <c r="Z13" s="44">
        <f t="shared" si="14"/>
        <v>0</v>
      </c>
      <c r="AB13" s="44" t="str">
        <f t="shared" ca="1" si="15"/>
        <v/>
      </c>
      <c r="AC13" s="44" t="str">
        <f t="shared" ca="1" si="16"/>
        <v/>
      </c>
      <c r="AD13" s="44" t="str">
        <f t="shared" ca="1" si="17"/>
        <v/>
      </c>
      <c r="AE13" s="44" t="str">
        <f t="shared" ca="1" si="18"/>
        <v/>
      </c>
      <c r="AF13" s="44" t="str">
        <f t="shared" ca="1" si="19"/>
        <v/>
      </c>
      <c r="AG13" s="44" t="str">
        <f t="shared" ca="1" si="20"/>
        <v/>
      </c>
      <c r="AH13" s="44" t="str">
        <f t="shared" ca="1" si="21"/>
        <v/>
      </c>
      <c r="AI13" s="44" t="str">
        <f t="shared" ca="1" si="22"/>
        <v/>
      </c>
      <c r="AJ13" s="44"/>
      <c r="AK13" s="44"/>
      <c r="AL13" s="44"/>
      <c r="AM13" s="44" t="str">
        <f t="shared" ca="1" si="23"/>
        <v/>
      </c>
      <c r="AN13" s="44" t="str">
        <f t="shared" ca="1" si="24"/>
        <v/>
      </c>
      <c r="AP13" s="44">
        <f t="shared" si="25"/>
        <v>0</v>
      </c>
      <c r="AQ13" s="44">
        <f t="shared" si="26"/>
        <v>6</v>
      </c>
      <c r="AR13" s="44" t="str">
        <f t="shared" ca="1" si="27"/>
        <v/>
      </c>
      <c r="AS13" s="44" t="str">
        <f t="shared" si="28"/>
        <v/>
      </c>
      <c r="AT13" s="44" t="str">
        <f t="shared" si="5"/>
        <v/>
      </c>
      <c r="AU13" s="44" t="str">
        <f t="shared" ca="1" si="29"/>
        <v/>
      </c>
    </row>
    <row r="14" spans="1:47" ht="21.95" customHeight="1" x14ac:dyDescent="0.4">
      <c r="A14" s="167">
        <v>7</v>
      </c>
      <c r="B14" s="133"/>
      <c r="C14" s="133"/>
      <c r="D14" s="133"/>
      <c r="E14" s="133"/>
      <c r="F14" s="58"/>
      <c r="G14" s="57"/>
      <c r="H14" s="133"/>
      <c r="I14" s="141"/>
      <c r="J14" s="125" t="str">
        <f>IF(OR(AND($S14=0,$R14&lt;&gt;2),AND($S14&lt;&gt;0,$R14=2)),リスト!$Y$3,IF(OR($W14&gt;0,$X14&gt;0),リスト!$Y$4,IF(AND($Q14=1,OR($R14=4,$R14=5)),リスト!$Y$5,IF($Y14&gt;0,リスト!$Y$6,IF($Z14&gt;0,リスト!$Y$7,"")))))</f>
        <v/>
      </c>
      <c r="K14" s="126" t="str">
        <f>IF($N14&lt;&gt;"",COUNTIF(エントリー!$R$8:$R$87,$M14),"")</f>
        <v/>
      </c>
      <c r="M14" s="44">
        <f t="shared" si="0"/>
        <v>7</v>
      </c>
      <c r="N14" s="44" t="str">
        <f t="shared" si="6"/>
        <v/>
      </c>
      <c r="O14" s="44" t="str">
        <f t="shared" si="7"/>
        <v/>
      </c>
      <c r="P14" s="44">
        <f t="shared" si="8"/>
        <v>7</v>
      </c>
      <c r="Q14" s="44" t="str">
        <f>IFERROR(VLOOKUP(F14,リスト!$N$2:$O$3,2,FALSE),"")</f>
        <v/>
      </c>
      <c r="R14" s="44" t="str">
        <f>IFERROR(VLOOKUP(G14,リスト!$B$2:$C$7,2,FALSE),"")</f>
        <v/>
      </c>
      <c r="S14" s="44" t="str">
        <f>IFERROR(VLOOKUP(H14,リスト!$F$10:$H$51,2,FALSE),"")</f>
        <v/>
      </c>
      <c r="T14" s="44" t="str">
        <f>IFERROR(VLOOKUP(H14,リスト!$F$10:$H$51,3,FALSE),"")</f>
        <v/>
      </c>
      <c r="U14" s="44" t="str">
        <f t="shared" si="9"/>
        <v/>
      </c>
      <c r="V14" s="44" t="str">
        <f t="shared" si="10"/>
        <v/>
      </c>
      <c r="W14" s="44">
        <f t="shared" si="11"/>
        <v>0</v>
      </c>
      <c r="X14" s="44">
        <f t="shared" si="12"/>
        <v>0</v>
      </c>
      <c r="Y14" s="44">
        <f t="shared" si="13"/>
        <v>0</v>
      </c>
      <c r="Z14" s="44">
        <f t="shared" si="14"/>
        <v>0</v>
      </c>
      <c r="AB14" s="44" t="str">
        <f t="shared" ca="1" si="15"/>
        <v/>
      </c>
      <c r="AC14" s="44" t="str">
        <f t="shared" ca="1" si="16"/>
        <v/>
      </c>
      <c r="AD14" s="44" t="str">
        <f t="shared" ca="1" si="17"/>
        <v/>
      </c>
      <c r="AE14" s="44" t="str">
        <f t="shared" ca="1" si="18"/>
        <v/>
      </c>
      <c r="AF14" s="44" t="str">
        <f t="shared" ca="1" si="19"/>
        <v/>
      </c>
      <c r="AG14" s="44" t="str">
        <f t="shared" ca="1" si="20"/>
        <v/>
      </c>
      <c r="AH14" s="44" t="str">
        <f t="shared" ca="1" si="21"/>
        <v/>
      </c>
      <c r="AI14" s="44" t="str">
        <f t="shared" ca="1" si="22"/>
        <v/>
      </c>
      <c r="AJ14" s="44"/>
      <c r="AK14" s="44"/>
      <c r="AL14" s="44"/>
      <c r="AM14" s="44" t="str">
        <f t="shared" ca="1" si="23"/>
        <v/>
      </c>
      <c r="AN14" s="44" t="str">
        <f t="shared" ca="1" si="24"/>
        <v/>
      </c>
      <c r="AP14" s="44">
        <f t="shared" si="25"/>
        <v>0</v>
      </c>
      <c r="AQ14" s="44">
        <f t="shared" si="26"/>
        <v>7</v>
      </c>
      <c r="AR14" s="44" t="str">
        <f t="shared" ca="1" si="27"/>
        <v/>
      </c>
      <c r="AS14" s="44" t="str">
        <f t="shared" si="28"/>
        <v/>
      </c>
      <c r="AT14" s="44" t="str">
        <f t="shared" si="5"/>
        <v/>
      </c>
      <c r="AU14" s="44" t="str">
        <f t="shared" ca="1" si="29"/>
        <v/>
      </c>
    </row>
    <row r="15" spans="1:47" ht="21.95" customHeight="1" x14ac:dyDescent="0.4">
      <c r="A15" s="167">
        <v>8</v>
      </c>
      <c r="B15" s="133"/>
      <c r="C15" s="133"/>
      <c r="D15" s="133"/>
      <c r="E15" s="133"/>
      <c r="F15" s="58"/>
      <c r="G15" s="57"/>
      <c r="H15" s="133"/>
      <c r="I15" s="141"/>
      <c r="J15" s="125" t="str">
        <f>IF(OR(AND($S15=0,$R15&lt;&gt;2),AND($S15&lt;&gt;0,$R15=2)),リスト!$Y$3,IF(OR($W15&gt;0,$X15&gt;0),リスト!$Y$4,IF(AND($Q15=1,OR($R15=4,$R15=5)),リスト!$Y$5,IF($Y15&gt;0,リスト!$Y$6,IF($Z15&gt;0,リスト!$Y$7,"")))))</f>
        <v/>
      </c>
      <c r="K15" s="126" t="str">
        <f>IF($N15&lt;&gt;"",COUNTIF(エントリー!$R$8:$R$87,$M15),"")</f>
        <v/>
      </c>
      <c r="M15" s="44">
        <f t="shared" si="0"/>
        <v>8</v>
      </c>
      <c r="N15" s="44" t="str">
        <f t="shared" si="6"/>
        <v/>
      </c>
      <c r="O15" s="44" t="str">
        <f t="shared" si="7"/>
        <v/>
      </c>
      <c r="P15" s="44">
        <f t="shared" si="8"/>
        <v>8</v>
      </c>
      <c r="Q15" s="44" t="str">
        <f>IFERROR(VLOOKUP(F15,リスト!$N$2:$O$3,2,FALSE),"")</f>
        <v/>
      </c>
      <c r="R15" s="44" t="str">
        <f>IFERROR(VLOOKUP(G15,リスト!$B$2:$C$7,2,FALSE),"")</f>
        <v/>
      </c>
      <c r="S15" s="44" t="str">
        <f>IFERROR(VLOOKUP(H15,リスト!$F$10:$H$51,2,FALSE),"")</f>
        <v/>
      </c>
      <c r="T15" s="44" t="str">
        <f>IFERROR(VLOOKUP(H15,リスト!$F$10:$H$51,3,FALSE),"")</f>
        <v/>
      </c>
      <c r="U15" s="44" t="str">
        <f t="shared" si="9"/>
        <v/>
      </c>
      <c r="V15" s="44" t="str">
        <f t="shared" si="10"/>
        <v/>
      </c>
      <c r="W15" s="44">
        <f t="shared" si="11"/>
        <v>0</v>
      </c>
      <c r="X15" s="44">
        <f t="shared" si="12"/>
        <v>0</v>
      </c>
      <c r="Y15" s="44">
        <f t="shared" si="13"/>
        <v>0</v>
      </c>
      <c r="Z15" s="44">
        <f t="shared" si="14"/>
        <v>0</v>
      </c>
      <c r="AB15" s="44" t="str">
        <f t="shared" ca="1" si="15"/>
        <v/>
      </c>
      <c r="AC15" s="44" t="str">
        <f t="shared" ca="1" si="16"/>
        <v/>
      </c>
      <c r="AD15" s="44" t="str">
        <f t="shared" ca="1" si="17"/>
        <v/>
      </c>
      <c r="AE15" s="44" t="str">
        <f t="shared" ca="1" si="18"/>
        <v/>
      </c>
      <c r="AF15" s="44" t="str">
        <f t="shared" ca="1" si="19"/>
        <v/>
      </c>
      <c r="AG15" s="44" t="str">
        <f t="shared" ca="1" si="20"/>
        <v/>
      </c>
      <c r="AH15" s="44" t="str">
        <f t="shared" ca="1" si="21"/>
        <v/>
      </c>
      <c r="AI15" s="44" t="str">
        <f t="shared" ca="1" si="22"/>
        <v/>
      </c>
      <c r="AJ15" s="44"/>
      <c r="AK15" s="44"/>
      <c r="AL15" s="44"/>
      <c r="AM15" s="44" t="str">
        <f t="shared" ca="1" si="23"/>
        <v/>
      </c>
      <c r="AN15" s="44" t="str">
        <f t="shared" ca="1" si="24"/>
        <v/>
      </c>
      <c r="AP15" s="44">
        <f t="shared" si="25"/>
        <v>0</v>
      </c>
      <c r="AQ15" s="44">
        <f t="shared" si="26"/>
        <v>8</v>
      </c>
      <c r="AR15" s="44" t="str">
        <f t="shared" ca="1" si="27"/>
        <v/>
      </c>
      <c r="AS15" s="44" t="str">
        <f t="shared" si="28"/>
        <v/>
      </c>
      <c r="AT15" s="44" t="str">
        <f t="shared" si="5"/>
        <v/>
      </c>
      <c r="AU15" s="44" t="str">
        <f t="shared" ca="1" si="29"/>
        <v/>
      </c>
    </row>
    <row r="16" spans="1:47" ht="21.95" customHeight="1" x14ac:dyDescent="0.4">
      <c r="A16" s="167">
        <v>9</v>
      </c>
      <c r="B16" s="133"/>
      <c r="C16" s="133"/>
      <c r="D16" s="133"/>
      <c r="E16" s="133"/>
      <c r="F16" s="58"/>
      <c r="G16" s="57"/>
      <c r="H16" s="133"/>
      <c r="I16" s="141"/>
      <c r="J16" s="125" t="str">
        <f>IF(OR(AND($S16=0,$R16&lt;&gt;2),AND($S16&lt;&gt;0,$R16=2)),リスト!$Y$3,IF(OR($W16&gt;0,$X16&gt;0),リスト!$Y$4,IF(AND($Q16=1,OR($R16=4,$R16=5)),リスト!$Y$5,IF($Y16&gt;0,リスト!$Y$6,IF($Z16&gt;0,リスト!$Y$7,"")))))</f>
        <v/>
      </c>
      <c r="K16" s="126" t="str">
        <f>IF($N16&lt;&gt;"",COUNTIF(エントリー!$R$8:$R$87,$M16),"")</f>
        <v/>
      </c>
      <c r="M16" s="44">
        <f t="shared" si="0"/>
        <v>9</v>
      </c>
      <c r="N16" s="44" t="str">
        <f t="shared" si="6"/>
        <v/>
      </c>
      <c r="O16" s="44" t="str">
        <f t="shared" si="7"/>
        <v/>
      </c>
      <c r="P16" s="44">
        <f t="shared" si="8"/>
        <v>9</v>
      </c>
      <c r="Q16" s="44" t="str">
        <f>IFERROR(VLOOKUP(F16,リスト!$N$2:$O$3,2,FALSE),"")</f>
        <v/>
      </c>
      <c r="R16" s="44" t="str">
        <f>IFERROR(VLOOKUP(G16,リスト!$B$2:$C$7,2,FALSE),"")</f>
        <v/>
      </c>
      <c r="S16" s="44" t="str">
        <f>IFERROR(VLOOKUP(H16,リスト!$F$10:$H$51,2,FALSE),"")</f>
        <v/>
      </c>
      <c r="T16" s="44" t="str">
        <f>IFERROR(VLOOKUP(H16,リスト!$F$10:$H$51,3,FALSE),"")</f>
        <v/>
      </c>
      <c r="U16" s="44" t="str">
        <f t="shared" si="9"/>
        <v/>
      </c>
      <c r="V16" s="44" t="str">
        <f t="shared" si="10"/>
        <v/>
      </c>
      <c r="W16" s="44">
        <f t="shared" si="11"/>
        <v>0</v>
      </c>
      <c r="X16" s="44">
        <f t="shared" si="12"/>
        <v>0</v>
      </c>
      <c r="Y16" s="44">
        <f t="shared" si="13"/>
        <v>0</v>
      </c>
      <c r="Z16" s="44">
        <f t="shared" si="14"/>
        <v>0</v>
      </c>
      <c r="AB16" s="44" t="str">
        <f t="shared" ca="1" si="15"/>
        <v/>
      </c>
      <c r="AC16" s="44" t="str">
        <f t="shared" ca="1" si="16"/>
        <v/>
      </c>
      <c r="AD16" s="44" t="str">
        <f t="shared" ca="1" si="17"/>
        <v/>
      </c>
      <c r="AE16" s="44" t="str">
        <f t="shared" ca="1" si="18"/>
        <v/>
      </c>
      <c r="AF16" s="44" t="str">
        <f t="shared" ca="1" si="19"/>
        <v/>
      </c>
      <c r="AG16" s="44" t="str">
        <f t="shared" ca="1" si="20"/>
        <v/>
      </c>
      <c r="AH16" s="44" t="str">
        <f t="shared" ca="1" si="21"/>
        <v/>
      </c>
      <c r="AI16" s="44" t="str">
        <f t="shared" ca="1" si="22"/>
        <v/>
      </c>
      <c r="AJ16" s="44"/>
      <c r="AK16" s="44"/>
      <c r="AL16" s="44"/>
      <c r="AM16" s="44" t="str">
        <f t="shared" ca="1" si="23"/>
        <v/>
      </c>
      <c r="AN16" s="44" t="str">
        <f t="shared" ca="1" si="24"/>
        <v/>
      </c>
      <c r="AP16" s="44">
        <f t="shared" si="25"/>
        <v>0</v>
      </c>
      <c r="AQ16" s="44">
        <f t="shared" si="26"/>
        <v>9</v>
      </c>
      <c r="AR16" s="44" t="str">
        <f t="shared" ca="1" si="27"/>
        <v/>
      </c>
      <c r="AS16" s="44" t="str">
        <f t="shared" si="28"/>
        <v/>
      </c>
      <c r="AT16" s="44" t="str">
        <f t="shared" si="5"/>
        <v/>
      </c>
      <c r="AU16" s="44" t="str">
        <f t="shared" ca="1" si="29"/>
        <v/>
      </c>
    </row>
    <row r="17" spans="1:47" ht="21.95" customHeight="1" x14ac:dyDescent="0.4">
      <c r="A17" s="167">
        <v>10</v>
      </c>
      <c r="B17" s="133"/>
      <c r="C17" s="133"/>
      <c r="D17" s="133"/>
      <c r="E17" s="133"/>
      <c r="F17" s="58"/>
      <c r="G17" s="57"/>
      <c r="H17" s="133"/>
      <c r="I17" s="141"/>
      <c r="J17" s="125" t="str">
        <f>IF(OR(AND($S17=0,$R17&lt;&gt;2),AND($S17&lt;&gt;0,$R17=2)),リスト!$Y$3,IF(OR($W17&gt;0,$X17&gt;0),リスト!$Y$4,IF(AND($Q17=1,OR($R17=4,$R17=5)),リスト!$Y$5,IF($Y17&gt;0,リスト!$Y$6,IF($Z17&gt;0,リスト!$Y$7,"")))))</f>
        <v/>
      </c>
      <c r="K17" s="126" t="str">
        <f>IF($N17&lt;&gt;"",COUNTIF(エントリー!$R$8:$R$87,$M17),"")</f>
        <v/>
      </c>
      <c r="M17" s="44">
        <f t="shared" si="0"/>
        <v>10</v>
      </c>
      <c r="N17" s="44" t="str">
        <f t="shared" si="6"/>
        <v/>
      </c>
      <c r="O17" s="44" t="str">
        <f t="shared" si="7"/>
        <v/>
      </c>
      <c r="P17" s="44">
        <f t="shared" si="8"/>
        <v>10</v>
      </c>
      <c r="Q17" s="44" t="str">
        <f>IFERROR(VLOOKUP(F17,リスト!$N$2:$O$3,2,FALSE),"")</f>
        <v/>
      </c>
      <c r="R17" s="44" t="str">
        <f>IFERROR(VLOOKUP(G17,リスト!$B$2:$C$7,2,FALSE),"")</f>
        <v/>
      </c>
      <c r="S17" s="44" t="str">
        <f>IFERROR(VLOOKUP(H17,リスト!$F$10:$H$51,2,FALSE),"")</f>
        <v/>
      </c>
      <c r="T17" s="44" t="str">
        <f>IFERROR(VLOOKUP(H17,リスト!$F$10:$H$51,3,FALSE),"")</f>
        <v/>
      </c>
      <c r="U17" s="44" t="str">
        <f t="shared" si="9"/>
        <v/>
      </c>
      <c r="V17" s="44" t="str">
        <f t="shared" si="10"/>
        <v/>
      </c>
      <c r="W17" s="44">
        <f t="shared" si="11"/>
        <v>0</v>
      </c>
      <c r="X17" s="44">
        <f t="shared" si="12"/>
        <v>0</v>
      </c>
      <c r="Y17" s="44">
        <f t="shared" si="13"/>
        <v>0</v>
      </c>
      <c r="Z17" s="44">
        <f t="shared" si="14"/>
        <v>0</v>
      </c>
      <c r="AB17" s="44" t="str">
        <f t="shared" ca="1" si="15"/>
        <v/>
      </c>
      <c r="AC17" s="44" t="str">
        <f t="shared" ca="1" si="16"/>
        <v/>
      </c>
      <c r="AD17" s="44" t="str">
        <f t="shared" ca="1" si="17"/>
        <v/>
      </c>
      <c r="AE17" s="44" t="str">
        <f t="shared" ca="1" si="18"/>
        <v/>
      </c>
      <c r="AF17" s="44" t="str">
        <f t="shared" ca="1" si="19"/>
        <v/>
      </c>
      <c r="AG17" s="44" t="str">
        <f t="shared" ca="1" si="20"/>
        <v/>
      </c>
      <c r="AH17" s="44" t="str">
        <f t="shared" ca="1" si="21"/>
        <v/>
      </c>
      <c r="AI17" s="44" t="str">
        <f t="shared" ca="1" si="22"/>
        <v/>
      </c>
      <c r="AJ17" s="44"/>
      <c r="AK17" s="44"/>
      <c r="AL17" s="44"/>
      <c r="AM17" s="44" t="str">
        <f t="shared" ca="1" si="23"/>
        <v/>
      </c>
      <c r="AN17" s="44" t="str">
        <f t="shared" ca="1" si="24"/>
        <v/>
      </c>
      <c r="AP17" s="44">
        <f t="shared" si="25"/>
        <v>0</v>
      </c>
      <c r="AQ17" s="44">
        <f t="shared" si="26"/>
        <v>10</v>
      </c>
      <c r="AR17" s="44" t="str">
        <f t="shared" ca="1" si="27"/>
        <v/>
      </c>
      <c r="AS17" s="44" t="str">
        <f t="shared" si="28"/>
        <v/>
      </c>
      <c r="AT17" s="44" t="str">
        <f t="shared" si="5"/>
        <v/>
      </c>
      <c r="AU17" s="44" t="str">
        <f t="shared" ca="1" si="29"/>
        <v/>
      </c>
    </row>
    <row r="18" spans="1:47" ht="21.95" customHeight="1" x14ac:dyDescent="0.4">
      <c r="A18" s="167">
        <v>11</v>
      </c>
      <c r="B18" s="133"/>
      <c r="C18" s="133"/>
      <c r="D18" s="133"/>
      <c r="E18" s="133"/>
      <c r="F18" s="58"/>
      <c r="G18" s="57"/>
      <c r="H18" s="133"/>
      <c r="I18" s="141"/>
      <c r="J18" s="125" t="str">
        <f>IF(OR(AND($S18=0,$R18&lt;&gt;2),AND($S18&lt;&gt;0,$R18=2)),リスト!$Y$3,IF(OR($W18&gt;0,$X18&gt;0),リスト!$Y$4,IF(AND($Q18=1,OR($R18=4,$R18=5)),リスト!$Y$5,IF($Y18&gt;0,リスト!$Y$6,IF($Z18&gt;0,リスト!$Y$7,"")))))</f>
        <v/>
      </c>
      <c r="K18" s="126" t="str">
        <f>IF($N18&lt;&gt;"",COUNTIF(エントリー!$R$8:$R$87,$M18),"")</f>
        <v/>
      </c>
      <c r="M18" s="44">
        <f t="shared" si="0"/>
        <v>11</v>
      </c>
      <c r="N18" s="44" t="str">
        <f t="shared" si="6"/>
        <v/>
      </c>
      <c r="O18" s="44" t="str">
        <f t="shared" si="7"/>
        <v/>
      </c>
      <c r="P18" s="44">
        <f t="shared" si="8"/>
        <v>11</v>
      </c>
      <c r="Q18" s="44" t="str">
        <f>IFERROR(VLOOKUP(F18,リスト!$N$2:$O$3,2,FALSE),"")</f>
        <v/>
      </c>
      <c r="R18" s="44" t="str">
        <f>IFERROR(VLOOKUP(G18,リスト!$B$2:$C$7,2,FALSE),"")</f>
        <v/>
      </c>
      <c r="S18" s="44" t="str">
        <f>IFERROR(VLOOKUP(H18,リスト!$F$10:$H$51,2,FALSE),"")</f>
        <v/>
      </c>
      <c r="T18" s="44" t="str">
        <f>IFERROR(VLOOKUP(H18,リスト!$F$10:$H$51,3,FALSE),"")</f>
        <v/>
      </c>
      <c r="U18" s="44" t="str">
        <f t="shared" si="9"/>
        <v/>
      </c>
      <c r="V18" s="44" t="str">
        <f t="shared" si="10"/>
        <v/>
      </c>
      <c r="W18" s="44">
        <f t="shared" si="11"/>
        <v>0</v>
      </c>
      <c r="X18" s="44">
        <f t="shared" si="12"/>
        <v>0</v>
      </c>
      <c r="Y18" s="44">
        <f t="shared" si="13"/>
        <v>0</v>
      </c>
      <c r="Z18" s="44">
        <f t="shared" si="14"/>
        <v>0</v>
      </c>
      <c r="AB18" s="44" t="str">
        <f t="shared" ca="1" si="15"/>
        <v/>
      </c>
      <c r="AC18" s="44" t="str">
        <f t="shared" ca="1" si="16"/>
        <v/>
      </c>
      <c r="AD18" s="44" t="str">
        <f t="shared" ca="1" si="17"/>
        <v/>
      </c>
      <c r="AE18" s="44" t="str">
        <f t="shared" ca="1" si="18"/>
        <v/>
      </c>
      <c r="AF18" s="44" t="str">
        <f t="shared" ca="1" si="19"/>
        <v/>
      </c>
      <c r="AG18" s="44" t="str">
        <f t="shared" ca="1" si="20"/>
        <v/>
      </c>
      <c r="AH18" s="44" t="str">
        <f t="shared" ca="1" si="21"/>
        <v/>
      </c>
      <c r="AI18" s="44" t="str">
        <f t="shared" ca="1" si="22"/>
        <v/>
      </c>
      <c r="AJ18" s="44"/>
      <c r="AK18" s="44"/>
      <c r="AL18" s="44"/>
      <c r="AM18" s="44" t="str">
        <f t="shared" ca="1" si="23"/>
        <v/>
      </c>
      <c r="AN18" s="44" t="str">
        <f t="shared" ca="1" si="24"/>
        <v/>
      </c>
      <c r="AP18" s="44">
        <f t="shared" si="25"/>
        <v>0</v>
      </c>
      <c r="AQ18" s="44">
        <f t="shared" si="26"/>
        <v>11</v>
      </c>
      <c r="AR18" s="44" t="str">
        <f t="shared" ca="1" si="27"/>
        <v/>
      </c>
      <c r="AS18" s="44" t="str">
        <f t="shared" si="28"/>
        <v/>
      </c>
      <c r="AT18" s="44" t="str">
        <f t="shared" si="5"/>
        <v/>
      </c>
      <c r="AU18" s="44" t="str">
        <f t="shared" ca="1" si="29"/>
        <v/>
      </c>
    </row>
    <row r="19" spans="1:47" ht="21.95" customHeight="1" x14ac:dyDescent="0.4">
      <c r="A19" s="167">
        <v>12</v>
      </c>
      <c r="B19" s="133"/>
      <c r="C19" s="133"/>
      <c r="D19" s="133"/>
      <c r="E19" s="133"/>
      <c r="F19" s="58"/>
      <c r="G19" s="57"/>
      <c r="H19" s="133"/>
      <c r="I19" s="141"/>
      <c r="J19" s="125" t="str">
        <f>IF(OR(AND($S19=0,$R19&lt;&gt;2),AND($S19&lt;&gt;0,$R19=2)),リスト!$Y$3,IF(OR($W19&gt;0,$X19&gt;0),リスト!$Y$4,IF(AND($Q19=1,OR($R19=4,$R19=5)),リスト!$Y$5,IF($Y19&gt;0,リスト!$Y$6,IF($Z19&gt;0,リスト!$Y$7,"")))))</f>
        <v/>
      </c>
      <c r="K19" s="126" t="str">
        <f>IF($N19&lt;&gt;"",COUNTIF(エントリー!$R$8:$R$87,$M19),"")</f>
        <v/>
      </c>
      <c r="M19" s="44">
        <f t="shared" si="0"/>
        <v>12</v>
      </c>
      <c r="N19" s="44" t="str">
        <f t="shared" si="6"/>
        <v/>
      </c>
      <c r="O19" s="44" t="str">
        <f t="shared" si="7"/>
        <v/>
      </c>
      <c r="P19" s="44">
        <f t="shared" si="8"/>
        <v>12</v>
      </c>
      <c r="Q19" s="44" t="str">
        <f>IFERROR(VLOOKUP(F19,リスト!$N$2:$O$3,2,FALSE),"")</f>
        <v/>
      </c>
      <c r="R19" s="44" t="str">
        <f>IFERROR(VLOOKUP(G19,リスト!$B$2:$C$7,2,FALSE),"")</f>
        <v/>
      </c>
      <c r="S19" s="44" t="str">
        <f>IFERROR(VLOOKUP(H19,リスト!$F$10:$H$51,2,FALSE),"")</f>
        <v/>
      </c>
      <c r="T19" s="44" t="str">
        <f>IFERROR(VLOOKUP(H19,リスト!$F$10:$H$51,3,FALSE),"")</f>
        <v/>
      </c>
      <c r="U19" s="44" t="str">
        <f t="shared" si="9"/>
        <v/>
      </c>
      <c r="V19" s="44" t="str">
        <f t="shared" si="10"/>
        <v/>
      </c>
      <c r="W19" s="44">
        <f t="shared" si="11"/>
        <v>0</v>
      </c>
      <c r="X19" s="44">
        <f t="shared" si="12"/>
        <v>0</v>
      </c>
      <c r="Y19" s="44">
        <f t="shared" si="13"/>
        <v>0</v>
      </c>
      <c r="Z19" s="44">
        <f t="shared" si="14"/>
        <v>0</v>
      </c>
      <c r="AB19" s="44" t="str">
        <f t="shared" ca="1" si="15"/>
        <v/>
      </c>
      <c r="AC19" s="44" t="str">
        <f t="shared" ca="1" si="16"/>
        <v/>
      </c>
      <c r="AD19" s="44" t="str">
        <f t="shared" ca="1" si="17"/>
        <v/>
      </c>
      <c r="AE19" s="44" t="str">
        <f t="shared" ca="1" si="18"/>
        <v/>
      </c>
      <c r="AF19" s="44" t="str">
        <f t="shared" ca="1" si="19"/>
        <v/>
      </c>
      <c r="AG19" s="44" t="str">
        <f t="shared" ca="1" si="20"/>
        <v/>
      </c>
      <c r="AH19" s="44" t="str">
        <f t="shared" ca="1" si="21"/>
        <v/>
      </c>
      <c r="AI19" s="44" t="str">
        <f t="shared" ca="1" si="22"/>
        <v/>
      </c>
      <c r="AJ19" s="44"/>
      <c r="AK19" s="44"/>
      <c r="AL19" s="44"/>
      <c r="AM19" s="44" t="str">
        <f t="shared" ca="1" si="23"/>
        <v/>
      </c>
      <c r="AN19" s="44" t="str">
        <f t="shared" ca="1" si="24"/>
        <v/>
      </c>
      <c r="AP19" s="44">
        <f t="shared" si="25"/>
        <v>0</v>
      </c>
      <c r="AQ19" s="44">
        <f t="shared" si="26"/>
        <v>12</v>
      </c>
      <c r="AR19" s="44" t="str">
        <f t="shared" ca="1" si="27"/>
        <v/>
      </c>
      <c r="AS19" s="44" t="str">
        <f t="shared" si="28"/>
        <v/>
      </c>
      <c r="AT19" s="44" t="str">
        <f t="shared" si="5"/>
        <v/>
      </c>
      <c r="AU19" s="44" t="str">
        <f t="shared" ca="1" si="29"/>
        <v/>
      </c>
    </row>
    <row r="20" spans="1:47" ht="21.95" customHeight="1" x14ac:dyDescent="0.4">
      <c r="A20" s="167">
        <v>13</v>
      </c>
      <c r="B20" s="133"/>
      <c r="C20" s="133"/>
      <c r="D20" s="133"/>
      <c r="E20" s="133"/>
      <c r="F20" s="58"/>
      <c r="G20" s="57"/>
      <c r="H20" s="133"/>
      <c r="I20" s="141"/>
      <c r="J20" s="125" t="str">
        <f>IF(OR(AND($S20=0,$R20&lt;&gt;2),AND($S20&lt;&gt;0,$R20=2)),リスト!$Y$3,IF(OR($W20&gt;0,$X20&gt;0),リスト!$Y$4,IF(AND($Q20=1,OR($R20=4,$R20=5)),リスト!$Y$5,IF($Y20&gt;0,リスト!$Y$6,IF($Z20&gt;0,リスト!$Y$7,"")))))</f>
        <v/>
      </c>
      <c r="K20" s="126" t="str">
        <f>IF($N20&lt;&gt;"",COUNTIF(エントリー!$R$8:$R$87,$M20),"")</f>
        <v/>
      </c>
      <c r="M20" s="44">
        <f t="shared" si="0"/>
        <v>13</v>
      </c>
      <c r="N20" s="44" t="str">
        <f t="shared" si="6"/>
        <v/>
      </c>
      <c r="O20" s="44" t="str">
        <f t="shared" si="7"/>
        <v/>
      </c>
      <c r="P20" s="44">
        <f t="shared" si="8"/>
        <v>13</v>
      </c>
      <c r="Q20" s="44" t="str">
        <f>IFERROR(VLOOKUP(F20,リスト!$N$2:$O$3,2,FALSE),"")</f>
        <v/>
      </c>
      <c r="R20" s="44" t="str">
        <f>IFERROR(VLOOKUP(G20,リスト!$B$2:$C$7,2,FALSE),"")</f>
        <v/>
      </c>
      <c r="S20" s="44" t="str">
        <f>IFERROR(VLOOKUP(H20,リスト!$F$10:$H$51,2,FALSE),"")</f>
        <v/>
      </c>
      <c r="T20" s="44" t="str">
        <f>IFERROR(VLOOKUP(H20,リスト!$F$10:$H$51,3,FALSE),"")</f>
        <v/>
      </c>
      <c r="U20" s="44" t="str">
        <f t="shared" si="9"/>
        <v/>
      </c>
      <c r="V20" s="44" t="str">
        <f t="shared" si="10"/>
        <v/>
      </c>
      <c r="W20" s="44">
        <f t="shared" si="11"/>
        <v>0</v>
      </c>
      <c r="X20" s="44">
        <f t="shared" si="12"/>
        <v>0</v>
      </c>
      <c r="Y20" s="44">
        <f t="shared" si="13"/>
        <v>0</v>
      </c>
      <c r="Z20" s="44">
        <f t="shared" si="14"/>
        <v>0</v>
      </c>
      <c r="AB20" s="44" t="str">
        <f t="shared" ca="1" si="15"/>
        <v/>
      </c>
      <c r="AC20" s="44" t="str">
        <f t="shared" ca="1" si="16"/>
        <v/>
      </c>
      <c r="AD20" s="44" t="str">
        <f t="shared" ca="1" si="17"/>
        <v/>
      </c>
      <c r="AE20" s="44" t="str">
        <f t="shared" ca="1" si="18"/>
        <v/>
      </c>
      <c r="AF20" s="44" t="str">
        <f t="shared" ca="1" si="19"/>
        <v/>
      </c>
      <c r="AG20" s="44" t="str">
        <f t="shared" ca="1" si="20"/>
        <v/>
      </c>
      <c r="AH20" s="44" t="str">
        <f t="shared" ca="1" si="21"/>
        <v/>
      </c>
      <c r="AI20" s="44" t="str">
        <f t="shared" ca="1" si="22"/>
        <v/>
      </c>
      <c r="AJ20" s="44"/>
      <c r="AK20" s="44"/>
      <c r="AL20" s="44"/>
      <c r="AM20" s="44" t="str">
        <f t="shared" ca="1" si="23"/>
        <v/>
      </c>
      <c r="AN20" s="44" t="str">
        <f t="shared" ca="1" si="24"/>
        <v/>
      </c>
      <c r="AP20" s="44">
        <f t="shared" si="25"/>
        <v>0</v>
      </c>
      <c r="AQ20" s="44">
        <f t="shared" si="26"/>
        <v>13</v>
      </c>
      <c r="AR20" s="44" t="str">
        <f t="shared" ca="1" si="27"/>
        <v/>
      </c>
      <c r="AS20" s="44" t="str">
        <f t="shared" si="28"/>
        <v/>
      </c>
      <c r="AT20" s="44" t="str">
        <f t="shared" si="5"/>
        <v/>
      </c>
      <c r="AU20" s="44" t="str">
        <f t="shared" ca="1" si="29"/>
        <v/>
      </c>
    </row>
    <row r="21" spans="1:47" ht="21.95" customHeight="1" x14ac:dyDescent="0.4">
      <c r="A21" s="167">
        <v>14</v>
      </c>
      <c r="B21" s="133"/>
      <c r="C21" s="133"/>
      <c r="D21" s="133"/>
      <c r="E21" s="133"/>
      <c r="F21" s="58"/>
      <c r="G21" s="57"/>
      <c r="H21" s="133"/>
      <c r="I21" s="141"/>
      <c r="J21" s="125" t="str">
        <f>IF(OR(AND($S21=0,$R21&lt;&gt;2),AND($S21&lt;&gt;0,$R21=2)),リスト!$Y$3,IF(OR($W21&gt;0,$X21&gt;0),リスト!$Y$4,IF(AND($Q21=1,OR($R21=4,$R21=5)),リスト!$Y$5,IF($Y21&gt;0,リスト!$Y$6,IF($Z21&gt;0,リスト!$Y$7,"")))))</f>
        <v/>
      </c>
      <c r="K21" s="126" t="str">
        <f>IF($N21&lt;&gt;"",COUNTIF(エントリー!$R$8:$R$87,$M21),"")</f>
        <v/>
      </c>
      <c r="M21" s="44">
        <f t="shared" si="0"/>
        <v>14</v>
      </c>
      <c r="N21" s="44" t="str">
        <f t="shared" si="6"/>
        <v/>
      </c>
      <c r="O21" s="44" t="str">
        <f t="shared" si="7"/>
        <v/>
      </c>
      <c r="P21" s="44">
        <f t="shared" si="8"/>
        <v>14</v>
      </c>
      <c r="Q21" s="44" t="str">
        <f>IFERROR(VLOOKUP(F21,リスト!$N$2:$O$3,2,FALSE),"")</f>
        <v/>
      </c>
      <c r="R21" s="44" t="str">
        <f>IFERROR(VLOOKUP(G21,リスト!$B$2:$C$7,2,FALSE),"")</f>
        <v/>
      </c>
      <c r="S21" s="44" t="str">
        <f>IFERROR(VLOOKUP(H21,リスト!$F$10:$H$51,2,FALSE),"")</f>
        <v/>
      </c>
      <c r="T21" s="44" t="str">
        <f>IFERROR(VLOOKUP(H21,リスト!$F$10:$H$51,3,FALSE),"")</f>
        <v/>
      </c>
      <c r="U21" s="44" t="str">
        <f t="shared" si="9"/>
        <v/>
      </c>
      <c r="V21" s="44" t="str">
        <f t="shared" si="10"/>
        <v/>
      </c>
      <c r="W21" s="44">
        <f t="shared" si="11"/>
        <v>0</v>
      </c>
      <c r="X21" s="44">
        <f t="shared" si="12"/>
        <v>0</v>
      </c>
      <c r="Y21" s="44">
        <f t="shared" si="13"/>
        <v>0</v>
      </c>
      <c r="Z21" s="44">
        <f t="shared" si="14"/>
        <v>0</v>
      </c>
      <c r="AB21" s="44" t="str">
        <f t="shared" ca="1" si="15"/>
        <v/>
      </c>
      <c r="AC21" s="44" t="str">
        <f t="shared" ca="1" si="16"/>
        <v/>
      </c>
      <c r="AD21" s="44" t="str">
        <f t="shared" ca="1" si="17"/>
        <v/>
      </c>
      <c r="AE21" s="44" t="str">
        <f t="shared" ca="1" si="18"/>
        <v/>
      </c>
      <c r="AF21" s="44" t="str">
        <f t="shared" ca="1" si="19"/>
        <v/>
      </c>
      <c r="AG21" s="44" t="str">
        <f t="shared" ca="1" si="20"/>
        <v/>
      </c>
      <c r="AH21" s="44" t="str">
        <f t="shared" ca="1" si="21"/>
        <v/>
      </c>
      <c r="AI21" s="44" t="str">
        <f t="shared" ca="1" si="22"/>
        <v/>
      </c>
      <c r="AJ21" s="44"/>
      <c r="AK21" s="44"/>
      <c r="AL21" s="44"/>
      <c r="AM21" s="44" t="str">
        <f t="shared" ca="1" si="23"/>
        <v/>
      </c>
      <c r="AN21" s="44" t="str">
        <f t="shared" ca="1" si="24"/>
        <v/>
      </c>
      <c r="AP21" s="44">
        <f t="shared" si="25"/>
        <v>0</v>
      </c>
      <c r="AQ21" s="44">
        <f t="shared" si="26"/>
        <v>14</v>
      </c>
      <c r="AR21" s="44" t="str">
        <f t="shared" ca="1" si="27"/>
        <v/>
      </c>
      <c r="AS21" s="44" t="str">
        <f t="shared" si="28"/>
        <v/>
      </c>
      <c r="AT21" s="44" t="str">
        <f t="shared" si="5"/>
        <v/>
      </c>
      <c r="AU21" s="44" t="str">
        <f t="shared" ca="1" si="29"/>
        <v/>
      </c>
    </row>
    <row r="22" spans="1:47" ht="21.95" customHeight="1" x14ac:dyDescent="0.4">
      <c r="A22" s="167">
        <v>15</v>
      </c>
      <c r="B22" s="133"/>
      <c r="C22" s="133"/>
      <c r="D22" s="133"/>
      <c r="E22" s="133"/>
      <c r="F22" s="58"/>
      <c r="G22" s="57"/>
      <c r="H22" s="133"/>
      <c r="I22" s="141"/>
      <c r="J22" s="125" t="str">
        <f>IF(OR(AND($S22=0,$R22&lt;&gt;2),AND($S22&lt;&gt;0,$R22=2)),リスト!$Y$3,IF(OR($W22&gt;0,$X22&gt;0),リスト!$Y$4,IF(AND($Q22=1,OR($R22=4,$R22=5)),リスト!$Y$5,IF($Y22&gt;0,リスト!$Y$6,IF($Z22&gt;0,リスト!$Y$7,"")))))</f>
        <v/>
      </c>
      <c r="K22" s="126" t="str">
        <f>IF($N22&lt;&gt;"",COUNTIF(エントリー!$R$8:$R$87,$M22),"")</f>
        <v/>
      </c>
      <c r="M22" s="44">
        <f t="shared" si="0"/>
        <v>15</v>
      </c>
      <c r="N22" s="44" t="str">
        <f t="shared" si="6"/>
        <v/>
      </c>
      <c r="O22" s="44" t="str">
        <f t="shared" si="7"/>
        <v/>
      </c>
      <c r="P22" s="44">
        <f t="shared" si="8"/>
        <v>15</v>
      </c>
      <c r="Q22" s="44" t="str">
        <f>IFERROR(VLOOKUP(F22,リスト!$N$2:$O$3,2,FALSE),"")</f>
        <v/>
      </c>
      <c r="R22" s="44" t="str">
        <f>IFERROR(VLOOKUP(G22,リスト!$B$2:$C$7,2,FALSE),"")</f>
        <v/>
      </c>
      <c r="S22" s="44" t="str">
        <f>IFERROR(VLOOKUP(H22,リスト!$F$10:$H$51,2,FALSE),"")</f>
        <v/>
      </c>
      <c r="T22" s="44" t="str">
        <f>IFERROR(VLOOKUP(H22,リスト!$F$10:$H$51,3,FALSE),"")</f>
        <v/>
      </c>
      <c r="U22" s="44" t="str">
        <f t="shared" si="9"/>
        <v/>
      </c>
      <c r="V22" s="44" t="str">
        <f t="shared" si="10"/>
        <v/>
      </c>
      <c r="W22" s="44">
        <f t="shared" si="11"/>
        <v>0</v>
      </c>
      <c r="X22" s="44">
        <f t="shared" si="12"/>
        <v>0</v>
      </c>
      <c r="Y22" s="44">
        <f t="shared" si="13"/>
        <v>0</v>
      </c>
      <c r="Z22" s="44">
        <f t="shared" si="14"/>
        <v>0</v>
      </c>
      <c r="AB22" s="44" t="str">
        <f t="shared" ca="1" si="15"/>
        <v/>
      </c>
      <c r="AC22" s="44" t="str">
        <f t="shared" ca="1" si="16"/>
        <v/>
      </c>
      <c r="AD22" s="44" t="str">
        <f t="shared" ca="1" si="17"/>
        <v/>
      </c>
      <c r="AE22" s="44" t="str">
        <f t="shared" ca="1" si="18"/>
        <v/>
      </c>
      <c r="AF22" s="44" t="str">
        <f t="shared" ca="1" si="19"/>
        <v/>
      </c>
      <c r="AG22" s="44" t="str">
        <f t="shared" ca="1" si="20"/>
        <v/>
      </c>
      <c r="AH22" s="44" t="str">
        <f t="shared" ca="1" si="21"/>
        <v/>
      </c>
      <c r="AI22" s="44" t="str">
        <f t="shared" ca="1" si="22"/>
        <v/>
      </c>
      <c r="AJ22" s="44"/>
      <c r="AK22" s="44"/>
      <c r="AL22" s="44"/>
      <c r="AM22" s="44" t="str">
        <f t="shared" ca="1" si="23"/>
        <v/>
      </c>
      <c r="AN22" s="44" t="str">
        <f t="shared" ca="1" si="24"/>
        <v/>
      </c>
      <c r="AP22" s="44">
        <f t="shared" si="25"/>
        <v>0</v>
      </c>
      <c r="AQ22" s="44">
        <f t="shared" si="26"/>
        <v>15</v>
      </c>
      <c r="AR22" s="44" t="str">
        <f t="shared" ca="1" si="27"/>
        <v/>
      </c>
      <c r="AS22" s="44" t="str">
        <f t="shared" si="28"/>
        <v/>
      </c>
      <c r="AT22" s="44" t="str">
        <f t="shared" si="5"/>
        <v/>
      </c>
      <c r="AU22" s="44" t="str">
        <f t="shared" ca="1" si="29"/>
        <v/>
      </c>
    </row>
    <row r="23" spans="1:47" ht="21.95" customHeight="1" x14ac:dyDescent="0.4">
      <c r="A23" s="167">
        <v>16</v>
      </c>
      <c r="B23" s="133"/>
      <c r="C23" s="133"/>
      <c r="D23" s="133"/>
      <c r="E23" s="133"/>
      <c r="F23" s="58"/>
      <c r="G23" s="57"/>
      <c r="H23" s="133"/>
      <c r="I23" s="141"/>
      <c r="J23" s="125" t="str">
        <f>IF(OR(AND($S23=0,$R23&lt;&gt;2),AND($S23&lt;&gt;0,$R23=2)),リスト!$Y$3,IF(OR($W23&gt;0,$X23&gt;0),リスト!$Y$4,IF(AND($Q23=1,OR($R23=4,$R23=5)),リスト!$Y$5,IF($Y23&gt;0,リスト!$Y$6,IF($Z23&gt;0,リスト!$Y$7,"")))))</f>
        <v/>
      </c>
      <c r="K23" s="126" t="str">
        <f>IF($N23&lt;&gt;"",COUNTIF(エントリー!$R$8:$R$87,$M23),"")</f>
        <v/>
      </c>
      <c r="M23" s="44">
        <f t="shared" si="0"/>
        <v>16</v>
      </c>
      <c r="N23" s="44" t="str">
        <f t="shared" si="6"/>
        <v/>
      </c>
      <c r="O23" s="44" t="str">
        <f t="shared" si="7"/>
        <v/>
      </c>
      <c r="P23" s="44">
        <f t="shared" si="8"/>
        <v>16</v>
      </c>
      <c r="Q23" s="44" t="str">
        <f>IFERROR(VLOOKUP(F23,リスト!$N$2:$O$3,2,FALSE),"")</f>
        <v/>
      </c>
      <c r="R23" s="44" t="str">
        <f>IFERROR(VLOOKUP(G23,リスト!$B$2:$C$7,2,FALSE),"")</f>
        <v/>
      </c>
      <c r="S23" s="44" t="str">
        <f>IFERROR(VLOOKUP(H23,リスト!$F$10:$H$51,2,FALSE),"")</f>
        <v/>
      </c>
      <c r="T23" s="44" t="str">
        <f>IFERROR(VLOOKUP(H23,リスト!$F$10:$H$51,3,FALSE),"")</f>
        <v/>
      </c>
      <c r="U23" s="44" t="str">
        <f t="shared" si="9"/>
        <v/>
      </c>
      <c r="V23" s="44" t="str">
        <f t="shared" si="10"/>
        <v/>
      </c>
      <c r="W23" s="44">
        <f t="shared" si="11"/>
        <v>0</v>
      </c>
      <c r="X23" s="44">
        <f t="shared" si="12"/>
        <v>0</v>
      </c>
      <c r="Y23" s="44">
        <f t="shared" si="13"/>
        <v>0</v>
      </c>
      <c r="Z23" s="44">
        <f t="shared" si="14"/>
        <v>0</v>
      </c>
      <c r="AB23" s="44" t="str">
        <f t="shared" ca="1" si="15"/>
        <v/>
      </c>
      <c r="AC23" s="44" t="str">
        <f t="shared" ca="1" si="16"/>
        <v/>
      </c>
      <c r="AD23" s="44" t="str">
        <f t="shared" ca="1" si="17"/>
        <v/>
      </c>
      <c r="AE23" s="44" t="str">
        <f t="shared" ca="1" si="18"/>
        <v/>
      </c>
      <c r="AF23" s="44" t="str">
        <f t="shared" ca="1" si="19"/>
        <v/>
      </c>
      <c r="AG23" s="44" t="str">
        <f t="shared" ca="1" si="20"/>
        <v/>
      </c>
      <c r="AH23" s="44" t="str">
        <f t="shared" ca="1" si="21"/>
        <v/>
      </c>
      <c r="AI23" s="44" t="str">
        <f t="shared" ca="1" si="22"/>
        <v/>
      </c>
      <c r="AJ23" s="44"/>
      <c r="AK23" s="44"/>
      <c r="AL23" s="44"/>
      <c r="AM23" s="44" t="str">
        <f t="shared" ca="1" si="23"/>
        <v/>
      </c>
      <c r="AN23" s="44" t="str">
        <f t="shared" ca="1" si="24"/>
        <v/>
      </c>
      <c r="AP23" s="44">
        <f t="shared" si="25"/>
        <v>0</v>
      </c>
      <c r="AQ23" s="44">
        <f t="shared" si="26"/>
        <v>16</v>
      </c>
      <c r="AR23" s="44" t="str">
        <f t="shared" ca="1" si="27"/>
        <v/>
      </c>
      <c r="AS23" s="44" t="str">
        <f t="shared" si="28"/>
        <v/>
      </c>
      <c r="AT23" s="44" t="str">
        <f t="shared" si="5"/>
        <v/>
      </c>
      <c r="AU23" s="44" t="str">
        <f t="shared" ca="1" si="29"/>
        <v/>
      </c>
    </row>
    <row r="24" spans="1:47" ht="21.95" customHeight="1" x14ac:dyDescent="0.4">
      <c r="A24" s="167">
        <v>17</v>
      </c>
      <c r="B24" s="133"/>
      <c r="C24" s="133"/>
      <c r="D24" s="133"/>
      <c r="E24" s="133"/>
      <c r="F24" s="58"/>
      <c r="G24" s="57"/>
      <c r="H24" s="133"/>
      <c r="I24" s="141"/>
      <c r="J24" s="125" t="str">
        <f>IF(OR(AND($S24=0,$R24&lt;&gt;2),AND($S24&lt;&gt;0,$R24=2)),リスト!$Y$3,IF(OR($W24&gt;0,$X24&gt;0),リスト!$Y$4,IF(AND($Q24=1,OR($R24=4,$R24=5)),リスト!$Y$5,IF($Y24&gt;0,リスト!$Y$6,IF($Z24&gt;0,リスト!$Y$7,"")))))</f>
        <v/>
      </c>
      <c r="K24" s="126" t="str">
        <f>IF($N24&lt;&gt;"",COUNTIF(エントリー!$R$8:$R$87,$M24),"")</f>
        <v/>
      </c>
      <c r="M24" s="44">
        <f t="shared" si="0"/>
        <v>17</v>
      </c>
      <c r="N24" s="44" t="str">
        <f t="shared" si="6"/>
        <v/>
      </c>
      <c r="O24" s="44" t="str">
        <f t="shared" si="7"/>
        <v/>
      </c>
      <c r="P24" s="44">
        <f t="shared" si="8"/>
        <v>17</v>
      </c>
      <c r="Q24" s="44" t="str">
        <f>IFERROR(VLOOKUP(F24,リスト!$N$2:$O$3,2,FALSE),"")</f>
        <v/>
      </c>
      <c r="R24" s="44" t="str">
        <f>IFERROR(VLOOKUP(G24,リスト!$B$2:$C$7,2,FALSE),"")</f>
        <v/>
      </c>
      <c r="S24" s="44" t="str">
        <f>IFERROR(VLOOKUP(H24,リスト!$F$10:$H$51,2,FALSE),"")</f>
        <v/>
      </c>
      <c r="T24" s="44" t="str">
        <f>IFERROR(VLOOKUP(H24,リスト!$F$10:$H$51,3,FALSE),"")</f>
        <v/>
      </c>
      <c r="U24" s="44" t="str">
        <f t="shared" si="9"/>
        <v/>
      </c>
      <c r="V24" s="44" t="str">
        <f t="shared" si="10"/>
        <v/>
      </c>
      <c r="W24" s="44">
        <f t="shared" si="11"/>
        <v>0</v>
      </c>
      <c r="X24" s="44">
        <f t="shared" si="12"/>
        <v>0</v>
      </c>
      <c r="Y24" s="44">
        <f t="shared" si="13"/>
        <v>0</v>
      </c>
      <c r="Z24" s="44">
        <f t="shared" si="14"/>
        <v>0</v>
      </c>
      <c r="AB24" s="44" t="str">
        <f t="shared" ca="1" si="15"/>
        <v/>
      </c>
      <c r="AC24" s="44" t="str">
        <f t="shared" ca="1" si="16"/>
        <v/>
      </c>
      <c r="AD24" s="44" t="str">
        <f t="shared" ca="1" si="17"/>
        <v/>
      </c>
      <c r="AE24" s="44" t="str">
        <f t="shared" ca="1" si="18"/>
        <v/>
      </c>
      <c r="AF24" s="44" t="str">
        <f t="shared" ca="1" si="19"/>
        <v/>
      </c>
      <c r="AG24" s="44" t="str">
        <f t="shared" ca="1" si="20"/>
        <v/>
      </c>
      <c r="AH24" s="44" t="str">
        <f t="shared" ca="1" si="21"/>
        <v/>
      </c>
      <c r="AI24" s="44" t="str">
        <f t="shared" ca="1" si="22"/>
        <v/>
      </c>
      <c r="AJ24" s="44"/>
      <c r="AK24" s="44"/>
      <c r="AL24" s="44"/>
      <c r="AM24" s="44" t="str">
        <f t="shared" ca="1" si="23"/>
        <v/>
      </c>
      <c r="AN24" s="44" t="str">
        <f t="shared" ca="1" si="24"/>
        <v/>
      </c>
      <c r="AP24" s="44">
        <f t="shared" si="25"/>
        <v>0</v>
      </c>
      <c r="AQ24" s="44">
        <f t="shared" si="26"/>
        <v>17</v>
      </c>
      <c r="AR24" s="44" t="str">
        <f t="shared" ca="1" si="27"/>
        <v/>
      </c>
      <c r="AS24" s="44" t="str">
        <f t="shared" si="28"/>
        <v/>
      </c>
      <c r="AT24" s="44" t="str">
        <f t="shared" si="5"/>
        <v/>
      </c>
      <c r="AU24" s="44" t="str">
        <f t="shared" ca="1" si="29"/>
        <v/>
      </c>
    </row>
    <row r="25" spans="1:47" ht="21.95" customHeight="1" x14ac:dyDescent="0.4">
      <c r="A25" s="167">
        <v>18</v>
      </c>
      <c r="B25" s="133"/>
      <c r="C25" s="133"/>
      <c r="D25" s="133"/>
      <c r="E25" s="133"/>
      <c r="F25" s="58"/>
      <c r="G25" s="57"/>
      <c r="H25" s="133"/>
      <c r="I25" s="141"/>
      <c r="J25" s="125" t="str">
        <f>IF(OR(AND($S25=0,$R25&lt;&gt;2),AND($S25&lt;&gt;0,$R25=2)),リスト!$Y$3,IF(OR($W25&gt;0,$X25&gt;0),リスト!$Y$4,IF(AND($Q25=1,OR($R25=4,$R25=5)),リスト!$Y$5,IF($Y25&gt;0,リスト!$Y$6,IF($Z25&gt;0,リスト!$Y$7,"")))))</f>
        <v/>
      </c>
      <c r="K25" s="126" t="str">
        <f>IF($N25&lt;&gt;"",COUNTIF(エントリー!$R$8:$R$87,$M25),"")</f>
        <v/>
      </c>
      <c r="M25" s="44">
        <f t="shared" si="0"/>
        <v>18</v>
      </c>
      <c r="N25" s="44" t="str">
        <f t="shared" si="6"/>
        <v/>
      </c>
      <c r="O25" s="44" t="str">
        <f t="shared" si="7"/>
        <v/>
      </c>
      <c r="P25" s="44">
        <f t="shared" si="8"/>
        <v>18</v>
      </c>
      <c r="Q25" s="44" t="str">
        <f>IFERROR(VLOOKUP(F25,リスト!$N$2:$O$3,2,FALSE),"")</f>
        <v/>
      </c>
      <c r="R25" s="44" t="str">
        <f>IFERROR(VLOOKUP(G25,リスト!$B$2:$C$7,2,FALSE),"")</f>
        <v/>
      </c>
      <c r="S25" s="44" t="str">
        <f>IFERROR(VLOOKUP(H25,リスト!$F$10:$H$51,2,FALSE),"")</f>
        <v/>
      </c>
      <c r="T25" s="44" t="str">
        <f>IFERROR(VLOOKUP(H25,リスト!$F$10:$H$51,3,FALSE),"")</f>
        <v/>
      </c>
      <c r="U25" s="44" t="str">
        <f t="shared" si="9"/>
        <v/>
      </c>
      <c r="V25" s="44" t="str">
        <f t="shared" si="10"/>
        <v/>
      </c>
      <c r="W25" s="44">
        <f t="shared" si="11"/>
        <v>0</v>
      </c>
      <c r="X25" s="44">
        <f t="shared" si="12"/>
        <v>0</v>
      </c>
      <c r="Y25" s="44">
        <f t="shared" si="13"/>
        <v>0</v>
      </c>
      <c r="Z25" s="44">
        <f t="shared" si="14"/>
        <v>0</v>
      </c>
      <c r="AB25" s="44" t="str">
        <f t="shared" ca="1" si="15"/>
        <v/>
      </c>
      <c r="AC25" s="44" t="str">
        <f t="shared" ca="1" si="16"/>
        <v/>
      </c>
      <c r="AD25" s="44" t="str">
        <f t="shared" ca="1" si="17"/>
        <v/>
      </c>
      <c r="AE25" s="44" t="str">
        <f t="shared" ca="1" si="18"/>
        <v/>
      </c>
      <c r="AF25" s="44" t="str">
        <f t="shared" ca="1" si="19"/>
        <v/>
      </c>
      <c r="AG25" s="44" t="str">
        <f t="shared" ca="1" si="20"/>
        <v/>
      </c>
      <c r="AH25" s="44" t="str">
        <f t="shared" ca="1" si="21"/>
        <v/>
      </c>
      <c r="AI25" s="44" t="str">
        <f t="shared" ca="1" si="22"/>
        <v/>
      </c>
      <c r="AJ25" s="44"/>
      <c r="AK25" s="44"/>
      <c r="AL25" s="44"/>
      <c r="AM25" s="44" t="str">
        <f t="shared" ca="1" si="23"/>
        <v/>
      </c>
      <c r="AN25" s="44" t="str">
        <f t="shared" ca="1" si="24"/>
        <v/>
      </c>
      <c r="AP25" s="44">
        <f t="shared" si="25"/>
        <v>0</v>
      </c>
      <c r="AQ25" s="44">
        <f t="shared" si="26"/>
        <v>18</v>
      </c>
      <c r="AR25" s="44" t="str">
        <f t="shared" ca="1" si="27"/>
        <v/>
      </c>
      <c r="AS25" s="44" t="str">
        <f t="shared" si="28"/>
        <v/>
      </c>
      <c r="AT25" s="44" t="str">
        <f t="shared" si="5"/>
        <v/>
      </c>
      <c r="AU25" s="44" t="str">
        <f t="shared" ca="1" si="29"/>
        <v/>
      </c>
    </row>
    <row r="26" spans="1:47" ht="21.95" customHeight="1" x14ac:dyDescent="0.4">
      <c r="A26" s="167">
        <v>19</v>
      </c>
      <c r="B26" s="133"/>
      <c r="C26" s="133"/>
      <c r="D26" s="133"/>
      <c r="E26" s="133"/>
      <c r="F26" s="58"/>
      <c r="G26" s="57"/>
      <c r="H26" s="133"/>
      <c r="I26" s="141"/>
      <c r="J26" s="125" t="str">
        <f>IF(OR(AND($S26=0,$R26&lt;&gt;2),AND($S26&lt;&gt;0,$R26=2)),リスト!$Y$3,IF(OR($W26&gt;0,$X26&gt;0),リスト!$Y$4,IF(AND($Q26=1,OR($R26=4,$R26=5)),リスト!$Y$5,IF($Y26&gt;0,リスト!$Y$6,IF($Z26&gt;0,リスト!$Y$7,"")))))</f>
        <v/>
      </c>
      <c r="K26" s="126" t="str">
        <f>IF($N26&lt;&gt;"",COUNTIF(エントリー!$R$8:$R$87,$M26),"")</f>
        <v/>
      </c>
      <c r="M26" s="44">
        <f t="shared" si="0"/>
        <v>19</v>
      </c>
      <c r="N26" s="44" t="str">
        <f t="shared" si="6"/>
        <v/>
      </c>
      <c r="O26" s="44" t="str">
        <f t="shared" si="7"/>
        <v/>
      </c>
      <c r="P26" s="44">
        <f t="shared" si="8"/>
        <v>19</v>
      </c>
      <c r="Q26" s="44" t="str">
        <f>IFERROR(VLOOKUP(F26,リスト!$N$2:$O$3,2,FALSE),"")</f>
        <v/>
      </c>
      <c r="R26" s="44" t="str">
        <f>IFERROR(VLOOKUP(G26,リスト!$B$2:$C$7,2,FALSE),"")</f>
        <v/>
      </c>
      <c r="S26" s="44" t="str">
        <f>IFERROR(VLOOKUP(H26,リスト!$F$10:$H$51,2,FALSE),"")</f>
        <v/>
      </c>
      <c r="T26" s="44" t="str">
        <f>IFERROR(VLOOKUP(H26,リスト!$F$10:$H$51,3,FALSE),"")</f>
        <v/>
      </c>
      <c r="U26" s="44" t="str">
        <f t="shared" si="9"/>
        <v/>
      </c>
      <c r="V26" s="44" t="str">
        <f t="shared" si="10"/>
        <v/>
      </c>
      <c r="W26" s="44">
        <f t="shared" si="11"/>
        <v>0</v>
      </c>
      <c r="X26" s="44">
        <f t="shared" si="12"/>
        <v>0</v>
      </c>
      <c r="Y26" s="44">
        <f t="shared" si="13"/>
        <v>0</v>
      </c>
      <c r="Z26" s="44">
        <f t="shared" si="14"/>
        <v>0</v>
      </c>
      <c r="AB26" s="44" t="str">
        <f t="shared" ca="1" si="15"/>
        <v/>
      </c>
      <c r="AC26" s="44" t="str">
        <f t="shared" ca="1" si="16"/>
        <v/>
      </c>
      <c r="AD26" s="44" t="str">
        <f t="shared" ca="1" si="17"/>
        <v/>
      </c>
      <c r="AE26" s="44" t="str">
        <f t="shared" ca="1" si="18"/>
        <v/>
      </c>
      <c r="AF26" s="44" t="str">
        <f t="shared" ca="1" si="19"/>
        <v/>
      </c>
      <c r="AG26" s="44" t="str">
        <f t="shared" ca="1" si="20"/>
        <v/>
      </c>
      <c r="AH26" s="44" t="str">
        <f t="shared" ca="1" si="21"/>
        <v/>
      </c>
      <c r="AI26" s="44" t="str">
        <f t="shared" ca="1" si="22"/>
        <v/>
      </c>
      <c r="AJ26" s="44"/>
      <c r="AK26" s="44"/>
      <c r="AL26" s="44"/>
      <c r="AM26" s="44" t="str">
        <f t="shared" ca="1" si="23"/>
        <v/>
      </c>
      <c r="AN26" s="44" t="str">
        <f t="shared" ca="1" si="24"/>
        <v/>
      </c>
      <c r="AP26" s="44">
        <f t="shared" si="25"/>
        <v>0</v>
      </c>
      <c r="AQ26" s="44">
        <f t="shared" si="26"/>
        <v>19</v>
      </c>
      <c r="AR26" s="44" t="str">
        <f t="shared" ca="1" si="27"/>
        <v/>
      </c>
      <c r="AS26" s="44" t="str">
        <f t="shared" si="28"/>
        <v/>
      </c>
      <c r="AT26" s="44" t="str">
        <f t="shared" si="5"/>
        <v/>
      </c>
      <c r="AU26" s="44" t="str">
        <f t="shared" ca="1" si="29"/>
        <v/>
      </c>
    </row>
    <row r="27" spans="1:47" ht="21.95" customHeight="1" x14ac:dyDescent="0.4">
      <c r="A27" s="167">
        <v>20</v>
      </c>
      <c r="B27" s="133"/>
      <c r="C27" s="133"/>
      <c r="D27" s="133"/>
      <c r="E27" s="133"/>
      <c r="F27" s="58"/>
      <c r="G27" s="57"/>
      <c r="H27" s="133"/>
      <c r="I27" s="141"/>
      <c r="J27" s="125" t="str">
        <f>IF(OR(AND($S27=0,$R27&lt;&gt;2),AND($S27&lt;&gt;0,$R27=2)),リスト!$Y$3,IF(OR($W27&gt;0,$X27&gt;0),リスト!$Y$4,IF(AND($Q27=1,OR($R27=4,$R27=5)),リスト!$Y$5,IF($Y27&gt;0,リスト!$Y$6,IF($Z27&gt;0,リスト!$Y$7,"")))))</f>
        <v/>
      </c>
      <c r="K27" s="126" t="str">
        <f>IF($N27&lt;&gt;"",COUNTIF(エントリー!$R$8:$R$87,$M27),"")</f>
        <v/>
      </c>
      <c r="M27" s="44">
        <f t="shared" si="0"/>
        <v>20</v>
      </c>
      <c r="N27" s="44" t="str">
        <f t="shared" si="6"/>
        <v/>
      </c>
      <c r="O27" s="44" t="str">
        <f t="shared" si="7"/>
        <v/>
      </c>
      <c r="P27" s="44">
        <f t="shared" si="8"/>
        <v>20</v>
      </c>
      <c r="Q27" s="44" t="str">
        <f>IFERROR(VLOOKUP(F27,リスト!$N$2:$O$3,2,FALSE),"")</f>
        <v/>
      </c>
      <c r="R27" s="44" t="str">
        <f>IFERROR(VLOOKUP(G27,リスト!$B$2:$C$7,2,FALSE),"")</f>
        <v/>
      </c>
      <c r="S27" s="44" t="str">
        <f>IFERROR(VLOOKUP(H27,リスト!$F$10:$H$51,2,FALSE),"")</f>
        <v/>
      </c>
      <c r="T27" s="44" t="str">
        <f>IFERROR(VLOOKUP(H27,リスト!$F$10:$H$51,3,FALSE),"")</f>
        <v/>
      </c>
      <c r="U27" s="44" t="str">
        <f t="shared" si="9"/>
        <v/>
      </c>
      <c r="V27" s="44" t="str">
        <f t="shared" si="10"/>
        <v/>
      </c>
      <c r="W27" s="44">
        <f t="shared" si="11"/>
        <v>0</v>
      </c>
      <c r="X27" s="44">
        <f t="shared" si="12"/>
        <v>0</v>
      </c>
      <c r="Y27" s="44">
        <f t="shared" si="13"/>
        <v>0</v>
      </c>
      <c r="Z27" s="44">
        <f t="shared" si="14"/>
        <v>0</v>
      </c>
      <c r="AB27" s="44" t="str">
        <f t="shared" ca="1" si="15"/>
        <v/>
      </c>
      <c r="AC27" s="44" t="str">
        <f t="shared" ca="1" si="16"/>
        <v/>
      </c>
      <c r="AD27" s="44" t="str">
        <f t="shared" ca="1" si="17"/>
        <v/>
      </c>
      <c r="AE27" s="44" t="str">
        <f t="shared" ca="1" si="18"/>
        <v/>
      </c>
      <c r="AF27" s="44" t="str">
        <f t="shared" ca="1" si="19"/>
        <v/>
      </c>
      <c r="AG27" s="44" t="str">
        <f t="shared" ca="1" si="20"/>
        <v/>
      </c>
      <c r="AH27" s="44" t="str">
        <f t="shared" ca="1" si="21"/>
        <v/>
      </c>
      <c r="AI27" s="44" t="str">
        <f t="shared" ca="1" si="22"/>
        <v/>
      </c>
      <c r="AJ27" s="44"/>
      <c r="AK27" s="44"/>
      <c r="AL27" s="44"/>
      <c r="AM27" s="44" t="str">
        <f t="shared" ca="1" si="23"/>
        <v/>
      </c>
      <c r="AN27" s="44" t="str">
        <f t="shared" ca="1" si="24"/>
        <v/>
      </c>
      <c r="AP27" s="44">
        <f t="shared" si="25"/>
        <v>0</v>
      </c>
      <c r="AQ27" s="44">
        <f t="shared" si="26"/>
        <v>20</v>
      </c>
      <c r="AR27" s="44" t="str">
        <f t="shared" ca="1" si="27"/>
        <v/>
      </c>
      <c r="AS27" s="44" t="str">
        <f t="shared" si="28"/>
        <v/>
      </c>
      <c r="AT27" s="44" t="str">
        <f t="shared" si="5"/>
        <v/>
      </c>
      <c r="AU27" s="44" t="str">
        <f t="shared" ca="1" si="29"/>
        <v/>
      </c>
    </row>
    <row r="28" spans="1:47" ht="21.95" customHeight="1" x14ac:dyDescent="0.4">
      <c r="A28" s="167">
        <v>21</v>
      </c>
      <c r="B28" s="133"/>
      <c r="C28" s="133"/>
      <c r="D28" s="133"/>
      <c r="E28" s="133"/>
      <c r="F28" s="58"/>
      <c r="G28" s="57"/>
      <c r="H28" s="133"/>
      <c r="I28" s="141"/>
      <c r="J28" s="125" t="str">
        <f>IF(OR(AND($S28=0,$R28&lt;&gt;2),AND($S28&lt;&gt;0,$R28=2)),リスト!$Y$3,IF(OR($W28&gt;0,$X28&gt;0),リスト!$Y$4,IF(AND($Q28=1,OR($R28=4,$R28=5)),リスト!$Y$5,IF($Y28&gt;0,リスト!$Y$6,IF($Z28&gt;0,リスト!$Y$7,"")))))</f>
        <v/>
      </c>
      <c r="K28" s="126" t="str">
        <f>IF($N28&lt;&gt;"",COUNTIF(エントリー!$R$8:$R$87,$M28),"")</f>
        <v/>
      </c>
      <c r="M28" s="44">
        <f t="shared" si="0"/>
        <v>21</v>
      </c>
      <c r="N28" s="44" t="str">
        <f t="shared" si="6"/>
        <v/>
      </c>
      <c r="O28" s="44" t="str">
        <f t="shared" si="7"/>
        <v/>
      </c>
      <c r="P28" s="44">
        <f t="shared" si="8"/>
        <v>21</v>
      </c>
      <c r="Q28" s="44" t="str">
        <f>IFERROR(VLOOKUP(F28,リスト!$N$2:$O$3,2,FALSE),"")</f>
        <v/>
      </c>
      <c r="R28" s="44" t="str">
        <f>IFERROR(VLOOKUP(G28,リスト!$B$2:$C$7,2,FALSE),"")</f>
        <v/>
      </c>
      <c r="S28" s="44" t="str">
        <f>IFERROR(VLOOKUP(H28,リスト!$F$10:$H$51,2,FALSE),"")</f>
        <v/>
      </c>
      <c r="T28" s="44" t="str">
        <f>IFERROR(VLOOKUP(H28,リスト!$F$10:$H$51,3,FALSE),"")</f>
        <v/>
      </c>
      <c r="U28" s="44" t="str">
        <f t="shared" si="9"/>
        <v/>
      </c>
      <c r="V28" s="44" t="str">
        <f t="shared" si="10"/>
        <v/>
      </c>
      <c r="W28" s="44">
        <f t="shared" si="11"/>
        <v>0</v>
      </c>
      <c r="X28" s="44">
        <f t="shared" si="12"/>
        <v>0</v>
      </c>
      <c r="Y28" s="44">
        <f t="shared" si="13"/>
        <v>0</v>
      </c>
      <c r="Z28" s="44">
        <f t="shared" si="14"/>
        <v>0</v>
      </c>
      <c r="AB28" s="44" t="str">
        <f t="shared" ca="1" si="15"/>
        <v/>
      </c>
      <c r="AC28" s="44" t="str">
        <f t="shared" ca="1" si="16"/>
        <v/>
      </c>
      <c r="AD28" s="44" t="str">
        <f t="shared" ca="1" si="17"/>
        <v/>
      </c>
      <c r="AE28" s="44" t="str">
        <f t="shared" ca="1" si="18"/>
        <v/>
      </c>
      <c r="AF28" s="44" t="str">
        <f t="shared" ca="1" si="19"/>
        <v/>
      </c>
      <c r="AG28" s="44" t="str">
        <f t="shared" ca="1" si="20"/>
        <v/>
      </c>
      <c r="AH28" s="44" t="str">
        <f t="shared" ca="1" si="21"/>
        <v/>
      </c>
      <c r="AI28" s="44" t="str">
        <f t="shared" ca="1" si="22"/>
        <v/>
      </c>
      <c r="AJ28" s="44"/>
      <c r="AK28" s="44"/>
      <c r="AL28" s="44"/>
      <c r="AM28" s="44" t="str">
        <f t="shared" ca="1" si="23"/>
        <v/>
      </c>
      <c r="AN28" s="44" t="str">
        <f t="shared" ca="1" si="24"/>
        <v/>
      </c>
      <c r="AP28" s="44">
        <f t="shared" si="25"/>
        <v>0</v>
      </c>
      <c r="AQ28" s="44">
        <f t="shared" si="26"/>
        <v>21</v>
      </c>
      <c r="AR28" s="44" t="str">
        <f t="shared" ca="1" si="27"/>
        <v/>
      </c>
      <c r="AS28" s="44" t="str">
        <f t="shared" si="28"/>
        <v/>
      </c>
      <c r="AT28" s="44" t="str">
        <f t="shared" si="5"/>
        <v/>
      </c>
      <c r="AU28" s="44" t="str">
        <f t="shared" ca="1" si="29"/>
        <v/>
      </c>
    </row>
    <row r="29" spans="1:47" ht="21.95" customHeight="1" x14ac:dyDescent="0.4">
      <c r="A29" s="167">
        <v>22</v>
      </c>
      <c r="B29" s="133"/>
      <c r="C29" s="133"/>
      <c r="D29" s="133"/>
      <c r="E29" s="133"/>
      <c r="F29" s="58"/>
      <c r="G29" s="57"/>
      <c r="H29" s="133"/>
      <c r="I29" s="141"/>
      <c r="J29" s="125" t="str">
        <f>IF(OR(AND($S29=0,$R29&lt;&gt;2),AND($S29&lt;&gt;0,$R29=2)),リスト!$Y$3,IF(OR($W29&gt;0,$X29&gt;0),リスト!$Y$4,IF(AND($Q29=1,OR($R29=4,$R29=5)),リスト!$Y$5,IF($Y29&gt;0,リスト!$Y$6,IF($Z29&gt;0,リスト!$Y$7,"")))))</f>
        <v/>
      </c>
      <c r="K29" s="126" t="str">
        <f>IF($N29&lt;&gt;"",COUNTIF(エントリー!$R$8:$R$87,$M29),"")</f>
        <v/>
      </c>
      <c r="M29" s="44">
        <f t="shared" si="0"/>
        <v>22</v>
      </c>
      <c r="N29" s="44" t="str">
        <f t="shared" si="6"/>
        <v/>
      </c>
      <c r="O29" s="44" t="str">
        <f t="shared" si="7"/>
        <v/>
      </c>
      <c r="P29" s="44">
        <f t="shared" si="8"/>
        <v>22</v>
      </c>
      <c r="Q29" s="44" t="str">
        <f>IFERROR(VLOOKUP(F29,リスト!$N$2:$O$3,2,FALSE),"")</f>
        <v/>
      </c>
      <c r="R29" s="44" t="str">
        <f>IFERROR(VLOOKUP(G29,リスト!$B$2:$C$7,2,FALSE),"")</f>
        <v/>
      </c>
      <c r="S29" s="44" t="str">
        <f>IFERROR(VLOOKUP(H29,リスト!$F$10:$H$51,2,FALSE),"")</f>
        <v/>
      </c>
      <c r="T29" s="44" t="str">
        <f>IFERROR(VLOOKUP(H29,リスト!$F$10:$H$51,3,FALSE),"")</f>
        <v/>
      </c>
      <c r="U29" s="44" t="str">
        <f t="shared" si="9"/>
        <v/>
      </c>
      <c r="V29" s="44" t="str">
        <f t="shared" si="10"/>
        <v/>
      </c>
      <c r="W29" s="44">
        <f t="shared" si="11"/>
        <v>0</v>
      </c>
      <c r="X29" s="44">
        <f t="shared" si="12"/>
        <v>0</v>
      </c>
      <c r="Y29" s="44">
        <f t="shared" si="13"/>
        <v>0</v>
      </c>
      <c r="Z29" s="44">
        <f t="shared" si="14"/>
        <v>0</v>
      </c>
      <c r="AB29" s="44" t="str">
        <f t="shared" ca="1" si="15"/>
        <v/>
      </c>
      <c r="AC29" s="44" t="str">
        <f t="shared" ca="1" si="16"/>
        <v/>
      </c>
      <c r="AD29" s="44" t="str">
        <f t="shared" ca="1" si="17"/>
        <v/>
      </c>
      <c r="AE29" s="44" t="str">
        <f t="shared" ca="1" si="18"/>
        <v/>
      </c>
      <c r="AF29" s="44" t="str">
        <f t="shared" ca="1" si="19"/>
        <v/>
      </c>
      <c r="AG29" s="44" t="str">
        <f t="shared" ca="1" si="20"/>
        <v/>
      </c>
      <c r="AH29" s="44" t="str">
        <f t="shared" ca="1" si="21"/>
        <v/>
      </c>
      <c r="AI29" s="44" t="str">
        <f t="shared" ca="1" si="22"/>
        <v/>
      </c>
      <c r="AJ29" s="44"/>
      <c r="AK29" s="44"/>
      <c r="AL29" s="44"/>
      <c r="AM29" s="44" t="str">
        <f t="shared" ca="1" si="23"/>
        <v/>
      </c>
      <c r="AN29" s="44" t="str">
        <f t="shared" ca="1" si="24"/>
        <v/>
      </c>
      <c r="AP29" s="44">
        <f t="shared" si="25"/>
        <v>0</v>
      </c>
      <c r="AQ29" s="44">
        <f t="shared" si="26"/>
        <v>22</v>
      </c>
      <c r="AR29" s="44" t="str">
        <f t="shared" ca="1" si="27"/>
        <v/>
      </c>
      <c r="AS29" s="44" t="str">
        <f t="shared" si="28"/>
        <v/>
      </c>
      <c r="AT29" s="44" t="str">
        <f t="shared" si="5"/>
        <v/>
      </c>
      <c r="AU29" s="44" t="str">
        <f t="shared" ca="1" si="29"/>
        <v/>
      </c>
    </row>
    <row r="30" spans="1:47" ht="21.95" customHeight="1" x14ac:dyDescent="0.4">
      <c r="A30" s="167">
        <v>23</v>
      </c>
      <c r="B30" s="133"/>
      <c r="C30" s="133"/>
      <c r="D30" s="133"/>
      <c r="E30" s="133"/>
      <c r="F30" s="58"/>
      <c r="G30" s="57"/>
      <c r="H30" s="133"/>
      <c r="I30" s="141"/>
      <c r="J30" s="125" t="str">
        <f>IF(OR(AND($S30=0,$R30&lt;&gt;2),AND($S30&lt;&gt;0,$R30=2)),リスト!$Y$3,IF(OR($W30&gt;0,$X30&gt;0),リスト!$Y$4,IF(AND($Q30=1,OR($R30=4,$R30=5)),リスト!$Y$5,IF($Y30&gt;0,リスト!$Y$6,IF($Z30&gt;0,リスト!$Y$7,"")))))</f>
        <v/>
      </c>
      <c r="K30" s="126" t="str">
        <f>IF($N30&lt;&gt;"",COUNTIF(エントリー!$R$8:$R$87,$M30),"")</f>
        <v/>
      </c>
      <c r="M30" s="44">
        <f t="shared" si="0"/>
        <v>23</v>
      </c>
      <c r="N30" s="44" t="str">
        <f t="shared" si="6"/>
        <v/>
      </c>
      <c r="O30" s="44" t="str">
        <f t="shared" si="7"/>
        <v/>
      </c>
      <c r="P30" s="44">
        <f t="shared" si="8"/>
        <v>23</v>
      </c>
      <c r="Q30" s="44" t="str">
        <f>IFERROR(VLOOKUP(F30,リスト!$N$2:$O$3,2,FALSE),"")</f>
        <v/>
      </c>
      <c r="R30" s="44" t="str">
        <f>IFERROR(VLOOKUP(G30,リスト!$B$2:$C$7,2,FALSE),"")</f>
        <v/>
      </c>
      <c r="S30" s="44" t="str">
        <f>IFERROR(VLOOKUP(H30,リスト!$F$10:$H$51,2,FALSE),"")</f>
        <v/>
      </c>
      <c r="T30" s="44" t="str">
        <f>IFERROR(VLOOKUP(H30,リスト!$F$10:$H$51,3,FALSE),"")</f>
        <v/>
      </c>
      <c r="U30" s="44" t="str">
        <f t="shared" si="9"/>
        <v/>
      </c>
      <c r="V30" s="44" t="str">
        <f t="shared" si="10"/>
        <v/>
      </c>
      <c r="W30" s="44">
        <f t="shared" si="11"/>
        <v>0</v>
      </c>
      <c r="X30" s="44">
        <f t="shared" si="12"/>
        <v>0</v>
      </c>
      <c r="Y30" s="44">
        <f t="shared" si="13"/>
        <v>0</v>
      </c>
      <c r="Z30" s="44">
        <f t="shared" si="14"/>
        <v>0</v>
      </c>
      <c r="AB30" s="44" t="str">
        <f t="shared" ca="1" si="15"/>
        <v/>
      </c>
      <c r="AC30" s="44" t="str">
        <f t="shared" ca="1" si="16"/>
        <v/>
      </c>
      <c r="AD30" s="44" t="str">
        <f t="shared" ca="1" si="17"/>
        <v/>
      </c>
      <c r="AE30" s="44" t="str">
        <f t="shared" ca="1" si="18"/>
        <v/>
      </c>
      <c r="AF30" s="44" t="str">
        <f t="shared" ca="1" si="19"/>
        <v/>
      </c>
      <c r="AG30" s="44" t="str">
        <f t="shared" ca="1" si="20"/>
        <v/>
      </c>
      <c r="AH30" s="44" t="str">
        <f t="shared" ca="1" si="21"/>
        <v/>
      </c>
      <c r="AI30" s="44" t="str">
        <f t="shared" ca="1" si="22"/>
        <v/>
      </c>
      <c r="AJ30" s="44"/>
      <c r="AK30" s="44"/>
      <c r="AL30" s="44"/>
      <c r="AM30" s="44" t="str">
        <f t="shared" ca="1" si="23"/>
        <v/>
      </c>
      <c r="AN30" s="44" t="str">
        <f t="shared" ca="1" si="24"/>
        <v/>
      </c>
      <c r="AP30" s="44">
        <f t="shared" si="25"/>
        <v>0</v>
      </c>
      <c r="AQ30" s="44">
        <f t="shared" si="26"/>
        <v>23</v>
      </c>
      <c r="AR30" s="44" t="str">
        <f t="shared" ca="1" si="27"/>
        <v/>
      </c>
      <c r="AS30" s="44" t="str">
        <f t="shared" si="28"/>
        <v/>
      </c>
      <c r="AT30" s="44" t="str">
        <f t="shared" si="5"/>
        <v/>
      </c>
      <c r="AU30" s="44" t="str">
        <f t="shared" ca="1" si="29"/>
        <v/>
      </c>
    </row>
    <row r="31" spans="1:47" ht="21.95" customHeight="1" x14ac:dyDescent="0.4">
      <c r="A31" s="167">
        <v>24</v>
      </c>
      <c r="B31" s="133"/>
      <c r="C31" s="133"/>
      <c r="D31" s="133"/>
      <c r="E31" s="133"/>
      <c r="F31" s="58"/>
      <c r="G31" s="57"/>
      <c r="H31" s="133"/>
      <c r="I31" s="141"/>
      <c r="J31" s="125" t="str">
        <f>IF(OR(AND($S31=0,$R31&lt;&gt;2),AND($S31&lt;&gt;0,$R31=2)),リスト!$Y$3,IF(OR($W31&gt;0,$X31&gt;0),リスト!$Y$4,IF(AND($Q31=1,OR($R31=4,$R31=5)),リスト!$Y$5,IF($Y31&gt;0,リスト!$Y$6,IF($Z31&gt;0,リスト!$Y$7,"")))))</f>
        <v/>
      </c>
      <c r="K31" s="126" t="str">
        <f>IF($N31&lt;&gt;"",COUNTIF(エントリー!$R$8:$R$87,$M31),"")</f>
        <v/>
      </c>
      <c r="M31" s="44">
        <f t="shared" si="0"/>
        <v>24</v>
      </c>
      <c r="N31" s="44" t="str">
        <f t="shared" si="6"/>
        <v/>
      </c>
      <c r="O31" s="44" t="str">
        <f t="shared" si="7"/>
        <v/>
      </c>
      <c r="P31" s="44">
        <f t="shared" si="8"/>
        <v>24</v>
      </c>
      <c r="Q31" s="44" t="str">
        <f>IFERROR(VLOOKUP(F31,リスト!$N$2:$O$3,2,FALSE),"")</f>
        <v/>
      </c>
      <c r="R31" s="44" t="str">
        <f>IFERROR(VLOOKUP(G31,リスト!$B$2:$C$7,2,FALSE),"")</f>
        <v/>
      </c>
      <c r="S31" s="44" t="str">
        <f>IFERROR(VLOOKUP(H31,リスト!$F$10:$H$51,2,FALSE),"")</f>
        <v/>
      </c>
      <c r="T31" s="44" t="str">
        <f>IFERROR(VLOOKUP(H31,リスト!$F$10:$H$51,3,FALSE),"")</f>
        <v/>
      </c>
      <c r="U31" s="44" t="str">
        <f t="shared" si="9"/>
        <v/>
      </c>
      <c r="V31" s="44" t="str">
        <f t="shared" si="10"/>
        <v/>
      </c>
      <c r="W31" s="44">
        <f t="shared" si="11"/>
        <v>0</v>
      </c>
      <c r="X31" s="44">
        <f t="shared" si="12"/>
        <v>0</v>
      </c>
      <c r="Y31" s="44">
        <f t="shared" si="13"/>
        <v>0</v>
      </c>
      <c r="Z31" s="44">
        <f t="shared" si="14"/>
        <v>0</v>
      </c>
      <c r="AB31" s="44" t="str">
        <f t="shared" ca="1" si="15"/>
        <v/>
      </c>
      <c r="AC31" s="44" t="str">
        <f t="shared" ca="1" si="16"/>
        <v/>
      </c>
      <c r="AD31" s="44" t="str">
        <f t="shared" ca="1" si="17"/>
        <v/>
      </c>
      <c r="AE31" s="44" t="str">
        <f t="shared" ca="1" si="18"/>
        <v/>
      </c>
      <c r="AF31" s="44" t="str">
        <f t="shared" ca="1" si="19"/>
        <v/>
      </c>
      <c r="AG31" s="44" t="str">
        <f t="shared" ca="1" si="20"/>
        <v/>
      </c>
      <c r="AH31" s="44" t="str">
        <f t="shared" ca="1" si="21"/>
        <v/>
      </c>
      <c r="AI31" s="44" t="str">
        <f t="shared" ca="1" si="22"/>
        <v/>
      </c>
      <c r="AJ31" s="44"/>
      <c r="AK31" s="44"/>
      <c r="AL31" s="44"/>
      <c r="AM31" s="44" t="str">
        <f t="shared" ca="1" si="23"/>
        <v/>
      </c>
      <c r="AN31" s="44" t="str">
        <f t="shared" ca="1" si="24"/>
        <v/>
      </c>
      <c r="AP31" s="44">
        <f t="shared" si="25"/>
        <v>0</v>
      </c>
      <c r="AQ31" s="44">
        <f t="shared" si="26"/>
        <v>24</v>
      </c>
      <c r="AR31" s="44" t="str">
        <f t="shared" ca="1" si="27"/>
        <v/>
      </c>
      <c r="AS31" s="44" t="str">
        <f t="shared" si="28"/>
        <v/>
      </c>
      <c r="AT31" s="44" t="str">
        <f t="shared" si="5"/>
        <v/>
      </c>
      <c r="AU31" s="44" t="str">
        <f t="shared" ca="1" si="29"/>
        <v/>
      </c>
    </row>
    <row r="32" spans="1:47" ht="21.95" customHeight="1" x14ac:dyDescent="0.4">
      <c r="A32" s="167">
        <v>25</v>
      </c>
      <c r="B32" s="133"/>
      <c r="C32" s="133"/>
      <c r="D32" s="133"/>
      <c r="E32" s="133"/>
      <c r="F32" s="58"/>
      <c r="G32" s="57"/>
      <c r="H32" s="133"/>
      <c r="I32" s="141"/>
      <c r="J32" s="125" t="str">
        <f>IF(OR(AND($S32=0,$R32&lt;&gt;2),AND($S32&lt;&gt;0,$R32=2)),リスト!$Y$3,IF(OR($W32&gt;0,$X32&gt;0),リスト!$Y$4,IF(AND($Q32=1,OR($R32=4,$R32=5)),リスト!$Y$5,IF($Y32&gt;0,リスト!$Y$6,IF($Z32&gt;0,リスト!$Y$7,"")))))</f>
        <v/>
      </c>
      <c r="K32" s="126" t="str">
        <f>IF($N32&lt;&gt;"",COUNTIF(エントリー!$R$8:$R$87,$M32),"")</f>
        <v/>
      </c>
      <c r="M32" s="44">
        <f t="shared" si="0"/>
        <v>25</v>
      </c>
      <c r="N32" s="44" t="str">
        <f t="shared" si="6"/>
        <v/>
      </c>
      <c r="O32" s="44" t="str">
        <f t="shared" si="7"/>
        <v/>
      </c>
      <c r="P32" s="44">
        <f t="shared" si="8"/>
        <v>25</v>
      </c>
      <c r="Q32" s="44" t="str">
        <f>IFERROR(VLOOKUP(F32,リスト!$N$2:$O$3,2,FALSE),"")</f>
        <v/>
      </c>
      <c r="R32" s="44" t="str">
        <f>IFERROR(VLOOKUP(G32,リスト!$B$2:$C$7,2,FALSE),"")</f>
        <v/>
      </c>
      <c r="S32" s="44" t="str">
        <f>IFERROR(VLOOKUP(H32,リスト!$F$10:$H$51,2,FALSE),"")</f>
        <v/>
      </c>
      <c r="T32" s="44" t="str">
        <f>IFERROR(VLOOKUP(H32,リスト!$F$10:$H$51,3,FALSE),"")</f>
        <v/>
      </c>
      <c r="U32" s="44" t="str">
        <f t="shared" si="9"/>
        <v/>
      </c>
      <c r="V32" s="44" t="str">
        <f t="shared" si="10"/>
        <v/>
      </c>
      <c r="W32" s="44">
        <f t="shared" si="11"/>
        <v>0</v>
      </c>
      <c r="X32" s="44">
        <f t="shared" si="12"/>
        <v>0</v>
      </c>
      <c r="Y32" s="44">
        <f t="shared" si="13"/>
        <v>0</v>
      </c>
      <c r="Z32" s="44">
        <f t="shared" si="14"/>
        <v>0</v>
      </c>
      <c r="AB32" s="44" t="str">
        <f t="shared" ca="1" si="15"/>
        <v/>
      </c>
      <c r="AC32" s="44" t="str">
        <f t="shared" ca="1" si="16"/>
        <v/>
      </c>
      <c r="AD32" s="44" t="str">
        <f t="shared" ca="1" si="17"/>
        <v/>
      </c>
      <c r="AE32" s="44" t="str">
        <f t="shared" ca="1" si="18"/>
        <v/>
      </c>
      <c r="AF32" s="44" t="str">
        <f t="shared" ca="1" si="19"/>
        <v/>
      </c>
      <c r="AG32" s="44" t="str">
        <f t="shared" ca="1" si="20"/>
        <v/>
      </c>
      <c r="AH32" s="44" t="str">
        <f t="shared" ca="1" si="21"/>
        <v/>
      </c>
      <c r="AI32" s="44" t="str">
        <f t="shared" ca="1" si="22"/>
        <v/>
      </c>
      <c r="AJ32" s="44"/>
      <c r="AK32" s="44"/>
      <c r="AL32" s="44"/>
      <c r="AM32" s="44" t="str">
        <f t="shared" ca="1" si="23"/>
        <v/>
      </c>
      <c r="AN32" s="44" t="str">
        <f t="shared" ca="1" si="24"/>
        <v/>
      </c>
      <c r="AP32" s="44">
        <f t="shared" si="25"/>
        <v>0</v>
      </c>
      <c r="AQ32" s="44">
        <f t="shared" si="26"/>
        <v>25</v>
      </c>
      <c r="AR32" s="44" t="str">
        <f t="shared" ca="1" si="27"/>
        <v/>
      </c>
      <c r="AS32" s="44" t="str">
        <f t="shared" si="28"/>
        <v/>
      </c>
      <c r="AT32" s="44" t="str">
        <f t="shared" si="5"/>
        <v/>
      </c>
      <c r="AU32" s="44" t="str">
        <f t="shared" ca="1" si="29"/>
        <v/>
      </c>
    </row>
    <row r="33" spans="1:47" ht="21.95" customHeight="1" x14ac:dyDescent="0.4">
      <c r="A33" s="167">
        <v>26</v>
      </c>
      <c r="B33" s="133"/>
      <c r="C33" s="133"/>
      <c r="D33" s="133"/>
      <c r="E33" s="133"/>
      <c r="F33" s="58"/>
      <c r="G33" s="57"/>
      <c r="H33" s="133"/>
      <c r="I33" s="141"/>
      <c r="J33" s="125" t="str">
        <f>IF(OR(AND($S33=0,$R33&lt;&gt;2),AND($S33&lt;&gt;0,$R33=2)),リスト!$Y$3,IF(OR($W33&gt;0,$X33&gt;0),リスト!$Y$4,IF(AND($Q33=1,OR($R33=4,$R33=5)),リスト!$Y$5,IF($Y33&gt;0,リスト!$Y$6,IF($Z33&gt;0,リスト!$Y$7,"")))))</f>
        <v/>
      </c>
      <c r="K33" s="126" t="str">
        <f>IF($N33&lt;&gt;"",COUNTIF(エントリー!$R$8:$R$87,$M33),"")</f>
        <v/>
      </c>
      <c r="M33" s="44">
        <f t="shared" si="0"/>
        <v>26</v>
      </c>
      <c r="N33" s="44" t="str">
        <f t="shared" si="6"/>
        <v/>
      </c>
      <c r="O33" s="44" t="str">
        <f t="shared" si="7"/>
        <v/>
      </c>
      <c r="P33" s="44">
        <f t="shared" si="8"/>
        <v>26</v>
      </c>
      <c r="Q33" s="44" t="str">
        <f>IFERROR(VLOOKUP(F33,リスト!$N$2:$O$3,2,FALSE),"")</f>
        <v/>
      </c>
      <c r="R33" s="44" t="str">
        <f>IFERROR(VLOOKUP(G33,リスト!$B$2:$C$7,2,FALSE),"")</f>
        <v/>
      </c>
      <c r="S33" s="44" t="str">
        <f>IFERROR(VLOOKUP(H33,リスト!$F$10:$H$51,2,FALSE),"")</f>
        <v/>
      </c>
      <c r="T33" s="44" t="str">
        <f>IFERROR(VLOOKUP(H33,リスト!$F$10:$H$51,3,FALSE),"")</f>
        <v/>
      </c>
      <c r="U33" s="44" t="str">
        <f t="shared" si="9"/>
        <v/>
      </c>
      <c r="V33" s="44" t="str">
        <f t="shared" si="10"/>
        <v/>
      </c>
      <c r="W33" s="44">
        <f t="shared" si="11"/>
        <v>0</v>
      </c>
      <c r="X33" s="44">
        <f t="shared" si="12"/>
        <v>0</v>
      </c>
      <c r="Y33" s="44">
        <f t="shared" si="13"/>
        <v>0</v>
      </c>
      <c r="Z33" s="44">
        <f t="shared" si="14"/>
        <v>0</v>
      </c>
      <c r="AB33" s="44" t="str">
        <f t="shared" ca="1" si="15"/>
        <v/>
      </c>
      <c r="AC33" s="44" t="str">
        <f t="shared" ca="1" si="16"/>
        <v/>
      </c>
      <c r="AD33" s="44" t="str">
        <f t="shared" ca="1" si="17"/>
        <v/>
      </c>
      <c r="AE33" s="44" t="str">
        <f t="shared" ca="1" si="18"/>
        <v/>
      </c>
      <c r="AF33" s="44" t="str">
        <f t="shared" ca="1" si="19"/>
        <v/>
      </c>
      <c r="AG33" s="44" t="str">
        <f t="shared" ca="1" si="20"/>
        <v/>
      </c>
      <c r="AH33" s="44" t="str">
        <f t="shared" ca="1" si="21"/>
        <v/>
      </c>
      <c r="AI33" s="44" t="str">
        <f t="shared" ca="1" si="22"/>
        <v/>
      </c>
      <c r="AJ33" s="44"/>
      <c r="AK33" s="44"/>
      <c r="AL33" s="44"/>
      <c r="AM33" s="44" t="str">
        <f t="shared" ca="1" si="23"/>
        <v/>
      </c>
      <c r="AN33" s="44" t="str">
        <f t="shared" ca="1" si="24"/>
        <v/>
      </c>
      <c r="AP33" s="44">
        <f t="shared" si="25"/>
        <v>0</v>
      </c>
      <c r="AQ33" s="44">
        <f t="shared" si="26"/>
        <v>26</v>
      </c>
      <c r="AR33" s="44" t="str">
        <f t="shared" ca="1" si="27"/>
        <v/>
      </c>
      <c r="AS33" s="44" t="str">
        <f t="shared" si="28"/>
        <v/>
      </c>
      <c r="AT33" s="44" t="str">
        <f t="shared" si="5"/>
        <v/>
      </c>
      <c r="AU33" s="44" t="str">
        <f t="shared" ca="1" si="29"/>
        <v/>
      </c>
    </row>
    <row r="34" spans="1:47" ht="21.95" customHeight="1" x14ac:dyDescent="0.4">
      <c r="A34" s="167">
        <v>27</v>
      </c>
      <c r="B34" s="133"/>
      <c r="C34" s="133"/>
      <c r="D34" s="133"/>
      <c r="E34" s="133"/>
      <c r="F34" s="58"/>
      <c r="G34" s="57"/>
      <c r="H34" s="133"/>
      <c r="I34" s="141"/>
      <c r="J34" s="125" t="str">
        <f>IF(OR(AND($S34=0,$R34&lt;&gt;2),AND($S34&lt;&gt;0,$R34=2)),リスト!$Y$3,IF(OR($W34&gt;0,$X34&gt;0),リスト!$Y$4,IF(AND($Q34=1,OR($R34=4,$R34=5)),リスト!$Y$5,IF($Y34&gt;0,リスト!$Y$6,IF($Z34&gt;0,リスト!$Y$7,"")))))</f>
        <v/>
      </c>
      <c r="K34" s="126" t="str">
        <f>IF($N34&lt;&gt;"",COUNTIF(エントリー!$R$8:$R$87,$M34),"")</f>
        <v/>
      </c>
      <c r="M34" s="44">
        <f t="shared" si="0"/>
        <v>27</v>
      </c>
      <c r="N34" s="44" t="str">
        <f t="shared" si="6"/>
        <v/>
      </c>
      <c r="O34" s="44" t="str">
        <f t="shared" si="7"/>
        <v/>
      </c>
      <c r="P34" s="44">
        <f t="shared" si="8"/>
        <v>27</v>
      </c>
      <c r="Q34" s="44" t="str">
        <f>IFERROR(VLOOKUP(F34,リスト!$N$2:$O$3,2,FALSE),"")</f>
        <v/>
      </c>
      <c r="R34" s="44" t="str">
        <f>IFERROR(VLOOKUP(G34,リスト!$B$2:$C$7,2,FALSE),"")</f>
        <v/>
      </c>
      <c r="S34" s="44" t="str">
        <f>IFERROR(VLOOKUP(H34,リスト!$F$10:$H$51,2,FALSE),"")</f>
        <v/>
      </c>
      <c r="T34" s="44" t="str">
        <f>IFERROR(VLOOKUP(H34,リスト!$F$10:$H$51,3,FALSE),"")</f>
        <v/>
      </c>
      <c r="U34" s="44" t="str">
        <f t="shared" si="9"/>
        <v/>
      </c>
      <c r="V34" s="44" t="str">
        <f t="shared" si="10"/>
        <v/>
      </c>
      <c r="W34" s="44">
        <f t="shared" si="11"/>
        <v>0</v>
      </c>
      <c r="X34" s="44">
        <f t="shared" si="12"/>
        <v>0</v>
      </c>
      <c r="Y34" s="44">
        <f t="shared" si="13"/>
        <v>0</v>
      </c>
      <c r="Z34" s="44">
        <f t="shared" si="14"/>
        <v>0</v>
      </c>
      <c r="AB34" s="44" t="str">
        <f t="shared" ca="1" si="15"/>
        <v/>
      </c>
      <c r="AC34" s="44" t="str">
        <f t="shared" ca="1" si="16"/>
        <v/>
      </c>
      <c r="AD34" s="44" t="str">
        <f t="shared" ca="1" si="17"/>
        <v/>
      </c>
      <c r="AE34" s="44" t="str">
        <f t="shared" ca="1" si="18"/>
        <v/>
      </c>
      <c r="AF34" s="44" t="str">
        <f t="shared" ca="1" si="19"/>
        <v/>
      </c>
      <c r="AG34" s="44" t="str">
        <f t="shared" ca="1" si="20"/>
        <v/>
      </c>
      <c r="AH34" s="44" t="str">
        <f t="shared" ca="1" si="21"/>
        <v/>
      </c>
      <c r="AI34" s="44" t="str">
        <f t="shared" ca="1" si="22"/>
        <v/>
      </c>
      <c r="AJ34" s="44"/>
      <c r="AK34" s="44"/>
      <c r="AL34" s="44"/>
      <c r="AM34" s="44" t="str">
        <f t="shared" ca="1" si="23"/>
        <v/>
      </c>
      <c r="AN34" s="44" t="str">
        <f t="shared" ca="1" si="24"/>
        <v/>
      </c>
      <c r="AP34" s="44">
        <f t="shared" si="25"/>
        <v>0</v>
      </c>
      <c r="AQ34" s="44">
        <f t="shared" si="26"/>
        <v>27</v>
      </c>
      <c r="AR34" s="44" t="str">
        <f t="shared" ca="1" si="27"/>
        <v/>
      </c>
      <c r="AS34" s="44" t="str">
        <f t="shared" si="28"/>
        <v/>
      </c>
      <c r="AT34" s="44" t="str">
        <f t="shared" si="5"/>
        <v/>
      </c>
      <c r="AU34" s="44" t="str">
        <f t="shared" ca="1" si="29"/>
        <v/>
      </c>
    </row>
    <row r="35" spans="1:47" ht="21.95" customHeight="1" x14ac:dyDescent="0.4">
      <c r="A35" s="167">
        <v>28</v>
      </c>
      <c r="B35" s="133"/>
      <c r="C35" s="133"/>
      <c r="D35" s="133"/>
      <c r="E35" s="133"/>
      <c r="F35" s="58"/>
      <c r="G35" s="57"/>
      <c r="H35" s="133"/>
      <c r="I35" s="141"/>
      <c r="J35" s="125" t="str">
        <f>IF(OR(AND($S35=0,$R35&lt;&gt;2),AND($S35&lt;&gt;0,$R35=2)),リスト!$Y$3,IF(OR($W35&gt;0,$X35&gt;0),リスト!$Y$4,IF(AND($Q35=1,OR($R35=4,$R35=5)),リスト!$Y$5,IF($Y35&gt;0,リスト!$Y$6,IF($Z35&gt;0,リスト!$Y$7,"")))))</f>
        <v/>
      </c>
      <c r="K35" s="126" t="str">
        <f>IF($N35&lt;&gt;"",COUNTIF(エントリー!$R$8:$R$87,$M35),"")</f>
        <v/>
      </c>
      <c r="M35" s="44">
        <f t="shared" si="0"/>
        <v>28</v>
      </c>
      <c r="N35" s="44" t="str">
        <f t="shared" si="6"/>
        <v/>
      </c>
      <c r="O35" s="44" t="str">
        <f t="shared" si="7"/>
        <v/>
      </c>
      <c r="P35" s="44">
        <f t="shared" si="8"/>
        <v>28</v>
      </c>
      <c r="Q35" s="44" t="str">
        <f>IFERROR(VLOOKUP(F35,リスト!$N$2:$O$3,2,FALSE),"")</f>
        <v/>
      </c>
      <c r="R35" s="44" t="str">
        <f>IFERROR(VLOOKUP(G35,リスト!$B$2:$C$7,2,FALSE),"")</f>
        <v/>
      </c>
      <c r="S35" s="44" t="str">
        <f>IFERROR(VLOOKUP(H35,リスト!$F$10:$H$51,2,FALSE),"")</f>
        <v/>
      </c>
      <c r="T35" s="44" t="str">
        <f>IFERROR(VLOOKUP(H35,リスト!$F$10:$H$51,3,FALSE),"")</f>
        <v/>
      </c>
      <c r="U35" s="44" t="str">
        <f t="shared" si="9"/>
        <v/>
      </c>
      <c r="V35" s="44" t="str">
        <f t="shared" si="10"/>
        <v/>
      </c>
      <c r="W35" s="44">
        <f t="shared" si="11"/>
        <v>0</v>
      </c>
      <c r="X35" s="44">
        <f t="shared" si="12"/>
        <v>0</v>
      </c>
      <c r="Y35" s="44">
        <f t="shared" si="13"/>
        <v>0</v>
      </c>
      <c r="Z35" s="44">
        <f t="shared" si="14"/>
        <v>0</v>
      </c>
      <c r="AB35" s="44" t="str">
        <f t="shared" ca="1" si="15"/>
        <v/>
      </c>
      <c r="AC35" s="44" t="str">
        <f t="shared" ca="1" si="16"/>
        <v/>
      </c>
      <c r="AD35" s="44" t="str">
        <f t="shared" ca="1" si="17"/>
        <v/>
      </c>
      <c r="AE35" s="44" t="str">
        <f t="shared" ca="1" si="18"/>
        <v/>
      </c>
      <c r="AF35" s="44" t="str">
        <f t="shared" ca="1" si="19"/>
        <v/>
      </c>
      <c r="AG35" s="44" t="str">
        <f t="shared" ca="1" si="20"/>
        <v/>
      </c>
      <c r="AH35" s="44" t="str">
        <f t="shared" ca="1" si="21"/>
        <v/>
      </c>
      <c r="AI35" s="44" t="str">
        <f t="shared" ca="1" si="22"/>
        <v/>
      </c>
      <c r="AJ35" s="44"/>
      <c r="AK35" s="44"/>
      <c r="AL35" s="44"/>
      <c r="AM35" s="44" t="str">
        <f t="shared" ca="1" si="23"/>
        <v/>
      </c>
      <c r="AN35" s="44" t="str">
        <f t="shared" ca="1" si="24"/>
        <v/>
      </c>
      <c r="AP35" s="44">
        <f t="shared" si="25"/>
        <v>0</v>
      </c>
      <c r="AQ35" s="44">
        <f t="shared" si="26"/>
        <v>28</v>
      </c>
      <c r="AR35" s="44" t="str">
        <f t="shared" ca="1" si="27"/>
        <v/>
      </c>
      <c r="AS35" s="44" t="str">
        <f t="shared" si="28"/>
        <v/>
      </c>
      <c r="AT35" s="44" t="str">
        <f t="shared" si="5"/>
        <v/>
      </c>
      <c r="AU35" s="44" t="str">
        <f t="shared" ca="1" si="29"/>
        <v/>
      </c>
    </row>
    <row r="36" spans="1:47" ht="21.95" customHeight="1" x14ac:dyDescent="0.4">
      <c r="A36" s="167">
        <v>29</v>
      </c>
      <c r="B36" s="133"/>
      <c r="C36" s="133"/>
      <c r="D36" s="133"/>
      <c r="E36" s="133"/>
      <c r="F36" s="58"/>
      <c r="G36" s="57"/>
      <c r="H36" s="133"/>
      <c r="I36" s="141"/>
      <c r="J36" s="125" t="str">
        <f>IF(OR(AND($S36=0,$R36&lt;&gt;2),AND($S36&lt;&gt;0,$R36=2)),リスト!$Y$3,IF(OR($W36&gt;0,$X36&gt;0),リスト!$Y$4,IF(AND($Q36=1,OR($R36=4,$R36=5)),リスト!$Y$5,IF($Y36&gt;0,リスト!$Y$6,IF($Z36&gt;0,リスト!$Y$7,"")))))</f>
        <v/>
      </c>
      <c r="K36" s="126" t="str">
        <f>IF($N36&lt;&gt;"",COUNTIF(エントリー!$R$8:$R$87,$M36),"")</f>
        <v/>
      </c>
      <c r="M36" s="44">
        <f t="shared" si="0"/>
        <v>29</v>
      </c>
      <c r="N36" s="44" t="str">
        <f t="shared" si="6"/>
        <v/>
      </c>
      <c r="O36" s="44" t="str">
        <f t="shared" si="7"/>
        <v/>
      </c>
      <c r="P36" s="44">
        <f t="shared" si="8"/>
        <v>29</v>
      </c>
      <c r="Q36" s="44" t="str">
        <f>IFERROR(VLOOKUP(F36,リスト!$N$2:$O$3,2,FALSE),"")</f>
        <v/>
      </c>
      <c r="R36" s="44" t="str">
        <f>IFERROR(VLOOKUP(G36,リスト!$B$2:$C$7,2,FALSE),"")</f>
        <v/>
      </c>
      <c r="S36" s="44" t="str">
        <f>IFERROR(VLOOKUP(H36,リスト!$F$10:$H$51,2,FALSE),"")</f>
        <v/>
      </c>
      <c r="T36" s="44" t="str">
        <f>IFERROR(VLOOKUP(H36,リスト!$F$10:$H$51,3,FALSE),"")</f>
        <v/>
      </c>
      <c r="U36" s="44" t="str">
        <f t="shared" si="9"/>
        <v/>
      </c>
      <c r="V36" s="44" t="str">
        <f t="shared" si="10"/>
        <v/>
      </c>
      <c r="W36" s="44">
        <f t="shared" si="11"/>
        <v>0</v>
      </c>
      <c r="X36" s="44">
        <f t="shared" si="12"/>
        <v>0</v>
      </c>
      <c r="Y36" s="44">
        <f t="shared" si="13"/>
        <v>0</v>
      </c>
      <c r="Z36" s="44">
        <f t="shared" si="14"/>
        <v>0</v>
      </c>
      <c r="AB36" s="44" t="str">
        <f t="shared" ca="1" si="15"/>
        <v/>
      </c>
      <c r="AC36" s="44" t="str">
        <f t="shared" ca="1" si="16"/>
        <v/>
      </c>
      <c r="AD36" s="44" t="str">
        <f t="shared" ca="1" si="17"/>
        <v/>
      </c>
      <c r="AE36" s="44" t="str">
        <f t="shared" ca="1" si="18"/>
        <v/>
      </c>
      <c r="AF36" s="44" t="str">
        <f t="shared" ca="1" si="19"/>
        <v/>
      </c>
      <c r="AG36" s="44" t="str">
        <f t="shared" ca="1" si="20"/>
        <v/>
      </c>
      <c r="AH36" s="44" t="str">
        <f t="shared" ca="1" si="21"/>
        <v/>
      </c>
      <c r="AI36" s="44" t="str">
        <f t="shared" ca="1" si="22"/>
        <v/>
      </c>
      <c r="AJ36" s="44"/>
      <c r="AK36" s="44"/>
      <c r="AL36" s="44"/>
      <c r="AM36" s="44" t="str">
        <f t="shared" ca="1" si="23"/>
        <v/>
      </c>
      <c r="AN36" s="44" t="str">
        <f t="shared" ca="1" si="24"/>
        <v/>
      </c>
      <c r="AP36" s="44">
        <f t="shared" si="25"/>
        <v>0</v>
      </c>
      <c r="AQ36" s="44">
        <f t="shared" si="26"/>
        <v>29</v>
      </c>
      <c r="AR36" s="44" t="str">
        <f t="shared" ca="1" si="27"/>
        <v/>
      </c>
      <c r="AS36" s="44" t="str">
        <f t="shared" si="28"/>
        <v/>
      </c>
      <c r="AT36" s="44" t="str">
        <f t="shared" si="5"/>
        <v/>
      </c>
      <c r="AU36" s="44" t="str">
        <f t="shared" ca="1" si="29"/>
        <v/>
      </c>
    </row>
    <row r="37" spans="1:47" ht="21.95" customHeight="1" x14ac:dyDescent="0.4">
      <c r="A37" s="167">
        <v>30</v>
      </c>
      <c r="B37" s="133"/>
      <c r="C37" s="133"/>
      <c r="D37" s="133"/>
      <c r="E37" s="133"/>
      <c r="F37" s="58"/>
      <c r="G37" s="57"/>
      <c r="H37" s="133"/>
      <c r="I37" s="141"/>
      <c r="J37" s="125" t="str">
        <f>IF(OR(AND($S37=0,$R37&lt;&gt;2),AND($S37&lt;&gt;0,$R37=2)),リスト!$Y$3,IF(OR($W37&gt;0,$X37&gt;0),リスト!$Y$4,IF(AND($Q37=1,OR($R37=4,$R37=5)),リスト!$Y$5,IF($Y37&gt;0,リスト!$Y$6,IF($Z37&gt;0,リスト!$Y$7,"")))))</f>
        <v/>
      </c>
      <c r="K37" s="126" t="str">
        <f>IF($N37&lt;&gt;"",COUNTIF(エントリー!$R$8:$R$87,$M37),"")</f>
        <v/>
      </c>
      <c r="M37" s="44">
        <f t="shared" si="0"/>
        <v>30</v>
      </c>
      <c r="N37" s="44" t="str">
        <f t="shared" si="6"/>
        <v/>
      </c>
      <c r="O37" s="44" t="str">
        <f t="shared" si="7"/>
        <v/>
      </c>
      <c r="P37" s="44">
        <f t="shared" si="8"/>
        <v>30</v>
      </c>
      <c r="Q37" s="44" t="str">
        <f>IFERROR(VLOOKUP(F37,リスト!$N$2:$O$3,2,FALSE),"")</f>
        <v/>
      </c>
      <c r="R37" s="44" t="str">
        <f>IFERROR(VLOOKUP(G37,リスト!$B$2:$C$7,2,FALSE),"")</f>
        <v/>
      </c>
      <c r="S37" s="44" t="str">
        <f>IFERROR(VLOOKUP(H37,リスト!$F$10:$H$51,2,FALSE),"")</f>
        <v/>
      </c>
      <c r="T37" s="44" t="str">
        <f>IFERROR(VLOOKUP(H37,リスト!$F$10:$H$51,3,FALSE),"")</f>
        <v/>
      </c>
      <c r="U37" s="44" t="str">
        <f t="shared" si="9"/>
        <v/>
      </c>
      <c r="V37" s="44" t="str">
        <f t="shared" si="10"/>
        <v/>
      </c>
      <c r="W37" s="44">
        <f t="shared" si="11"/>
        <v>0</v>
      </c>
      <c r="X37" s="44">
        <f t="shared" si="12"/>
        <v>0</v>
      </c>
      <c r="Y37" s="44">
        <f t="shared" si="13"/>
        <v>0</v>
      </c>
      <c r="Z37" s="44">
        <f t="shared" si="14"/>
        <v>0</v>
      </c>
      <c r="AB37" s="44" t="str">
        <f t="shared" ca="1" si="15"/>
        <v/>
      </c>
      <c r="AC37" s="44" t="str">
        <f t="shared" ca="1" si="16"/>
        <v/>
      </c>
      <c r="AD37" s="44" t="str">
        <f t="shared" ca="1" si="17"/>
        <v/>
      </c>
      <c r="AE37" s="44" t="str">
        <f t="shared" ca="1" si="18"/>
        <v/>
      </c>
      <c r="AF37" s="44" t="str">
        <f t="shared" ca="1" si="19"/>
        <v/>
      </c>
      <c r="AG37" s="44" t="str">
        <f t="shared" ca="1" si="20"/>
        <v/>
      </c>
      <c r="AH37" s="44" t="str">
        <f t="shared" ca="1" si="21"/>
        <v/>
      </c>
      <c r="AI37" s="44" t="str">
        <f t="shared" ca="1" si="22"/>
        <v/>
      </c>
      <c r="AJ37" s="44"/>
      <c r="AK37" s="44"/>
      <c r="AL37" s="44"/>
      <c r="AM37" s="44" t="str">
        <f t="shared" ca="1" si="23"/>
        <v/>
      </c>
      <c r="AN37" s="44" t="str">
        <f t="shared" ca="1" si="24"/>
        <v/>
      </c>
      <c r="AP37" s="44">
        <f t="shared" si="25"/>
        <v>0</v>
      </c>
      <c r="AQ37" s="44">
        <f t="shared" si="26"/>
        <v>30</v>
      </c>
      <c r="AR37" s="44" t="str">
        <f t="shared" ca="1" si="27"/>
        <v/>
      </c>
      <c r="AS37" s="44" t="str">
        <f t="shared" si="28"/>
        <v/>
      </c>
      <c r="AT37" s="44" t="str">
        <f t="shared" si="5"/>
        <v/>
      </c>
      <c r="AU37" s="44" t="str">
        <f t="shared" ca="1" si="29"/>
        <v/>
      </c>
    </row>
    <row r="38" spans="1:47" ht="21.95" customHeight="1" x14ac:dyDescent="0.4">
      <c r="A38" s="167">
        <v>31</v>
      </c>
      <c r="B38" s="133"/>
      <c r="C38" s="133"/>
      <c r="D38" s="133"/>
      <c r="E38" s="133"/>
      <c r="F38" s="58"/>
      <c r="G38" s="57"/>
      <c r="H38" s="133"/>
      <c r="I38" s="141"/>
      <c r="J38" s="125" t="str">
        <f>IF(OR(AND($S38=0,$R38&lt;&gt;2),AND($S38&lt;&gt;0,$R38=2)),リスト!$Y$3,IF(OR($W38&gt;0,$X38&gt;0),リスト!$Y$4,IF(AND($Q38=1,OR($R38=4,$R38=5)),リスト!$Y$5,IF($Y38&gt;0,リスト!$Y$6,IF($Z38&gt;0,リスト!$Y$7,"")))))</f>
        <v/>
      </c>
      <c r="K38" s="126" t="str">
        <f>IF($N38&lt;&gt;"",COUNTIF(エントリー!$R$8:$R$87,$M38),"")</f>
        <v/>
      </c>
      <c r="M38" s="44">
        <f t="shared" si="0"/>
        <v>31</v>
      </c>
      <c r="N38" s="44" t="str">
        <f t="shared" si="6"/>
        <v/>
      </c>
      <c r="O38" s="44" t="str">
        <f t="shared" si="7"/>
        <v/>
      </c>
      <c r="P38" s="44">
        <f t="shared" si="8"/>
        <v>31</v>
      </c>
      <c r="Q38" s="44" t="str">
        <f>IFERROR(VLOOKUP(F38,リスト!$N$2:$O$3,2,FALSE),"")</f>
        <v/>
      </c>
      <c r="R38" s="44" t="str">
        <f>IFERROR(VLOOKUP(G38,リスト!$B$2:$C$7,2,FALSE),"")</f>
        <v/>
      </c>
      <c r="S38" s="44" t="str">
        <f>IFERROR(VLOOKUP(H38,リスト!$F$10:$H$51,2,FALSE),"")</f>
        <v/>
      </c>
      <c r="T38" s="44" t="str">
        <f>IFERROR(VLOOKUP(H38,リスト!$F$10:$H$51,3,FALSE),"")</f>
        <v/>
      </c>
      <c r="U38" s="44" t="str">
        <f t="shared" si="9"/>
        <v/>
      </c>
      <c r="V38" s="44" t="str">
        <f t="shared" si="10"/>
        <v/>
      </c>
      <c r="W38" s="44">
        <f t="shared" si="11"/>
        <v>0</v>
      </c>
      <c r="X38" s="44">
        <f t="shared" si="12"/>
        <v>0</v>
      </c>
      <c r="Y38" s="44">
        <f t="shared" si="13"/>
        <v>0</v>
      </c>
      <c r="Z38" s="44">
        <f t="shared" si="14"/>
        <v>0</v>
      </c>
      <c r="AB38" s="44" t="str">
        <f t="shared" ca="1" si="15"/>
        <v/>
      </c>
      <c r="AC38" s="44" t="str">
        <f t="shared" ca="1" si="16"/>
        <v/>
      </c>
      <c r="AD38" s="44" t="str">
        <f t="shared" ca="1" si="17"/>
        <v/>
      </c>
      <c r="AE38" s="44" t="str">
        <f t="shared" ca="1" si="18"/>
        <v/>
      </c>
      <c r="AF38" s="44" t="str">
        <f t="shared" ca="1" si="19"/>
        <v/>
      </c>
      <c r="AG38" s="44" t="str">
        <f t="shared" ca="1" si="20"/>
        <v/>
      </c>
      <c r="AH38" s="44" t="str">
        <f t="shared" ca="1" si="21"/>
        <v/>
      </c>
      <c r="AI38" s="44" t="str">
        <f t="shared" ca="1" si="22"/>
        <v/>
      </c>
      <c r="AJ38" s="44"/>
      <c r="AK38" s="44"/>
      <c r="AL38" s="44"/>
      <c r="AM38" s="44" t="str">
        <f t="shared" ca="1" si="23"/>
        <v/>
      </c>
      <c r="AN38" s="44" t="str">
        <f t="shared" ca="1" si="24"/>
        <v/>
      </c>
      <c r="AP38" s="44">
        <f t="shared" si="25"/>
        <v>0</v>
      </c>
      <c r="AQ38" s="44">
        <f t="shared" si="26"/>
        <v>31</v>
      </c>
      <c r="AR38" s="44" t="str">
        <f t="shared" ca="1" si="27"/>
        <v/>
      </c>
      <c r="AS38" s="44" t="str">
        <f t="shared" si="28"/>
        <v/>
      </c>
      <c r="AT38" s="44" t="str">
        <f t="shared" si="5"/>
        <v/>
      </c>
      <c r="AU38" s="44" t="str">
        <f t="shared" ca="1" si="29"/>
        <v/>
      </c>
    </row>
    <row r="39" spans="1:47" ht="21.95" customHeight="1" x14ac:dyDescent="0.4">
      <c r="A39" s="167">
        <v>32</v>
      </c>
      <c r="B39" s="133"/>
      <c r="C39" s="133"/>
      <c r="D39" s="133"/>
      <c r="E39" s="133"/>
      <c r="F39" s="58"/>
      <c r="G39" s="57"/>
      <c r="H39" s="133"/>
      <c r="I39" s="141"/>
      <c r="J39" s="125" t="str">
        <f>IF(OR(AND($S39=0,$R39&lt;&gt;2),AND($S39&lt;&gt;0,$R39=2)),リスト!$Y$3,IF(OR($W39&gt;0,$X39&gt;0),リスト!$Y$4,IF(AND($Q39=1,OR($R39=4,$R39=5)),リスト!$Y$5,IF($Y39&gt;0,リスト!$Y$6,IF($Z39&gt;0,リスト!$Y$7,"")))))</f>
        <v/>
      </c>
      <c r="K39" s="126" t="str">
        <f>IF($N39&lt;&gt;"",COUNTIF(エントリー!$R$8:$R$87,$M39),"")</f>
        <v/>
      </c>
      <c r="M39" s="44">
        <f t="shared" si="0"/>
        <v>32</v>
      </c>
      <c r="N39" s="44" t="str">
        <f t="shared" si="6"/>
        <v/>
      </c>
      <c r="O39" s="44" t="str">
        <f t="shared" si="7"/>
        <v/>
      </c>
      <c r="P39" s="44">
        <f t="shared" si="8"/>
        <v>32</v>
      </c>
      <c r="Q39" s="44" t="str">
        <f>IFERROR(VLOOKUP(F39,リスト!$N$2:$O$3,2,FALSE),"")</f>
        <v/>
      </c>
      <c r="R39" s="44" t="str">
        <f>IFERROR(VLOOKUP(G39,リスト!$B$2:$C$7,2,FALSE),"")</f>
        <v/>
      </c>
      <c r="S39" s="44" t="str">
        <f>IFERROR(VLOOKUP(H39,リスト!$F$10:$H$51,2,FALSE),"")</f>
        <v/>
      </c>
      <c r="T39" s="44" t="str">
        <f>IFERROR(VLOOKUP(H39,リスト!$F$10:$H$51,3,FALSE),"")</f>
        <v/>
      </c>
      <c r="U39" s="44" t="str">
        <f t="shared" si="9"/>
        <v/>
      </c>
      <c r="V39" s="44" t="str">
        <f t="shared" si="10"/>
        <v/>
      </c>
      <c r="W39" s="44">
        <f t="shared" si="11"/>
        <v>0</v>
      </c>
      <c r="X39" s="44">
        <f t="shared" si="12"/>
        <v>0</v>
      </c>
      <c r="Y39" s="44">
        <f t="shared" si="13"/>
        <v>0</v>
      </c>
      <c r="Z39" s="44">
        <f t="shared" si="14"/>
        <v>0</v>
      </c>
      <c r="AB39" s="44" t="str">
        <f t="shared" ca="1" si="15"/>
        <v/>
      </c>
      <c r="AC39" s="44" t="str">
        <f t="shared" ca="1" si="16"/>
        <v/>
      </c>
      <c r="AD39" s="44" t="str">
        <f t="shared" ca="1" si="17"/>
        <v/>
      </c>
      <c r="AE39" s="44" t="str">
        <f t="shared" ca="1" si="18"/>
        <v/>
      </c>
      <c r="AF39" s="44" t="str">
        <f t="shared" ca="1" si="19"/>
        <v/>
      </c>
      <c r="AG39" s="44" t="str">
        <f t="shared" ca="1" si="20"/>
        <v/>
      </c>
      <c r="AH39" s="44" t="str">
        <f t="shared" ca="1" si="21"/>
        <v/>
      </c>
      <c r="AI39" s="44" t="str">
        <f t="shared" ca="1" si="22"/>
        <v/>
      </c>
      <c r="AJ39" s="44"/>
      <c r="AK39" s="44"/>
      <c r="AL39" s="44"/>
      <c r="AM39" s="44" t="str">
        <f t="shared" ca="1" si="23"/>
        <v/>
      </c>
      <c r="AN39" s="44" t="str">
        <f t="shared" ca="1" si="24"/>
        <v/>
      </c>
      <c r="AP39" s="44">
        <f t="shared" si="25"/>
        <v>0</v>
      </c>
      <c r="AQ39" s="44">
        <f t="shared" si="26"/>
        <v>32</v>
      </c>
      <c r="AR39" s="44" t="str">
        <f t="shared" ca="1" si="27"/>
        <v/>
      </c>
      <c r="AS39" s="44" t="str">
        <f t="shared" si="28"/>
        <v/>
      </c>
      <c r="AT39" s="44" t="str">
        <f t="shared" si="5"/>
        <v/>
      </c>
      <c r="AU39" s="44" t="str">
        <f t="shared" ca="1" si="29"/>
        <v/>
      </c>
    </row>
    <row r="40" spans="1:47" ht="21.95" customHeight="1" x14ac:dyDescent="0.4">
      <c r="A40" s="167">
        <v>33</v>
      </c>
      <c r="B40" s="133"/>
      <c r="C40" s="133"/>
      <c r="D40" s="133"/>
      <c r="E40" s="133"/>
      <c r="F40" s="58"/>
      <c r="G40" s="57"/>
      <c r="H40" s="133"/>
      <c r="I40" s="141"/>
      <c r="J40" s="125" t="str">
        <f>IF(OR(AND($S40=0,$R40&lt;&gt;2),AND($S40&lt;&gt;0,$R40=2)),リスト!$Y$3,IF(OR($W40&gt;0,$X40&gt;0),リスト!$Y$4,IF(AND($Q40=1,OR($R40=4,$R40=5)),リスト!$Y$5,IF($Y40&gt;0,リスト!$Y$6,IF($Z40&gt;0,リスト!$Y$7,"")))))</f>
        <v/>
      </c>
      <c r="K40" s="126" t="str">
        <f>IF($N40&lt;&gt;"",COUNTIF(エントリー!$R$8:$R$87,$M40),"")</f>
        <v/>
      </c>
      <c r="M40" s="44">
        <f t="shared" ref="M40:M57" si="30">A40</f>
        <v>33</v>
      </c>
      <c r="N40" s="44" t="str">
        <f t="shared" si="6"/>
        <v/>
      </c>
      <c r="O40" s="44" t="str">
        <f t="shared" si="7"/>
        <v/>
      </c>
      <c r="P40" s="44">
        <f t="shared" si="8"/>
        <v>33</v>
      </c>
      <c r="Q40" s="44" t="str">
        <f>IFERROR(VLOOKUP(F40,リスト!$N$2:$O$3,2,FALSE),"")</f>
        <v/>
      </c>
      <c r="R40" s="44" t="str">
        <f>IFERROR(VLOOKUP(G40,リスト!$B$2:$C$7,2,FALSE),"")</f>
        <v/>
      </c>
      <c r="S40" s="44" t="str">
        <f>IFERROR(VLOOKUP(H40,リスト!$F$10:$H$51,2,FALSE),"")</f>
        <v/>
      </c>
      <c r="T40" s="44" t="str">
        <f>IFERROR(VLOOKUP(H40,リスト!$F$10:$H$51,3,FALSE),"")</f>
        <v/>
      </c>
      <c r="U40" s="44" t="str">
        <f t="shared" si="9"/>
        <v/>
      </c>
      <c r="V40" s="44" t="str">
        <f t="shared" si="10"/>
        <v/>
      </c>
      <c r="W40" s="44">
        <f t="shared" si="11"/>
        <v>0</v>
      </c>
      <c r="X40" s="44">
        <f t="shared" si="12"/>
        <v>0</v>
      </c>
      <c r="Y40" s="44">
        <f t="shared" si="13"/>
        <v>0</v>
      </c>
      <c r="Z40" s="44">
        <f t="shared" si="14"/>
        <v>0</v>
      </c>
      <c r="AB40" s="44" t="str">
        <f t="shared" ca="1" si="15"/>
        <v/>
      </c>
      <c r="AC40" s="44" t="str">
        <f t="shared" ca="1" si="16"/>
        <v/>
      </c>
      <c r="AD40" s="44" t="str">
        <f t="shared" ca="1" si="17"/>
        <v/>
      </c>
      <c r="AE40" s="44" t="str">
        <f t="shared" ca="1" si="18"/>
        <v/>
      </c>
      <c r="AF40" s="44" t="str">
        <f t="shared" ca="1" si="19"/>
        <v/>
      </c>
      <c r="AG40" s="44" t="str">
        <f t="shared" ca="1" si="20"/>
        <v/>
      </c>
      <c r="AH40" s="44" t="str">
        <f t="shared" ca="1" si="21"/>
        <v/>
      </c>
      <c r="AI40" s="44" t="str">
        <f t="shared" ca="1" si="22"/>
        <v/>
      </c>
      <c r="AJ40" s="44"/>
      <c r="AK40" s="44"/>
      <c r="AL40" s="44"/>
      <c r="AM40" s="44" t="str">
        <f t="shared" ca="1" si="23"/>
        <v/>
      </c>
      <c r="AN40" s="44" t="str">
        <f t="shared" ca="1" si="24"/>
        <v/>
      </c>
      <c r="AP40" s="44">
        <f t="shared" si="25"/>
        <v>0</v>
      </c>
      <c r="AQ40" s="44">
        <f t="shared" si="26"/>
        <v>33</v>
      </c>
      <c r="AR40" s="44" t="str">
        <f t="shared" ca="1" si="27"/>
        <v/>
      </c>
      <c r="AS40" s="44" t="str">
        <f t="shared" si="28"/>
        <v/>
      </c>
      <c r="AT40" s="44" t="str">
        <f t="shared" si="5"/>
        <v/>
      </c>
      <c r="AU40" s="44" t="str">
        <f t="shared" ca="1" si="29"/>
        <v/>
      </c>
    </row>
    <row r="41" spans="1:47" ht="21.95" customHeight="1" x14ac:dyDescent="0.4">
      <c r="A41" s="167">
        <v>34</v>
      </c>
      <c r="B41" s="133"/>
      <c r="C41" s="133"/>
      <c r="D41" s="133"/>
      <c r="E41" s="133"/>
      <c r="F41" s="58"/>
      <c r="G41" s="57"/>
      <c r="H41" s="133"/>
      <c r="I41" s="141"/>
      <c r="J41" s="125" t="str">
        <f>IF(OR(AND($S41=0,$R41&lt;&gt;2),AND($S41&lt;&gt;0,$R41=2)),リスト!$Y$3,IF(OR($W41&gt;0,$X41&gt;0),リスト!$Y$4,IF(AND($Q41=1,OR($R41=4,$R41=5)),リスト!$Y$5,IF($Y41&gt;0,リスト!$Y$6,IF($Z41&gt;0,リスト!$Y$7,"")))))</f>
        <v/>
      </c>
      <c r="K41" s="126" t="str">
        <f>IF($N41&lt;&gt;"",COUNTIF(エントリー!$R$8:$R$87,$M41),"")</f>
        <v/>
      </c>
      <c r="M41" s="44">
        <f t="shared" si="30"/>
        <v>34</v>
      </c>
      <c r="N41" s="44" t="str">
        <f t="shared" si="6"/>
        <v/>
      </c>
      <c r="O41" s="44" t="str">
        <f t="shared" si="7"/>
        <v/>
      </c>
      <c r="P41" s="44">
        <f t="shared" si="8"/>
        <v>34</v>
      </c>
      <c r="Q41" s="44" t="str">
        <f>IFERROR(VLOOKUP(F41,リスト!$N$2:$O$3,2,FALSE),"")</f>
        <v/>
      </c>
      <c r="R41" s="44" t="str">
        <f>IFERROR(VLOOKUP(G41,リスト!$B$2:$C$7,2,FALSE),"")</f>
        <v/>
      </c>
      <c r="S41" s="44" t="str">
        <f>IFERROR(VLOOKUP(H41,リスト!$F$10:$H$51,2,FALSE),"")</f>
        <v/>
      </c>
      <c r="T41" s="44" t="str">
        <f>IFERROR(VLOOKUP(H41,リスト!$F$10:$H$51,3,FALSE),"")</f>
        <v/>
      </c>
      <c r="U41" s="44" t="str">
        <f t="shared" si="9"/>
        <v/>
      </c>
      <c r="V41" s="44" t="str">
        <f t="shared" si="10"/>
        <v/>
      </c>
      <c r="W41" s="44">
        <f t="shared" si="11"/>
        <v>0</v>
      </c>
      <c r="X41" s="44">
        <f t="shared" si="12"/>
        <v>0</v>
      </c>
      <c r="Y41" s="44">
        <f t="shared" si="13"/>
        <v>0</v>
      </c>
      <c r="Z41" s="44">
        <f t="shared" si="14"/>
        <v>0</v>
      </c>
      <c r="AB41" s="44" t="str">
        <f t="shared" ca="1" si="15"/>
        <v/>
      </c>
      <c r="AC41" s="44" t="str">
        <f t="shared" ca="1" si="16"/>
        <v/>
      </c>
      <c r="AD41" s="44" t="str">
        <f t="shared" ca="1" si="17"/>
        <v/>
      </c>
      <c r="AE41" s="44" t="str">
        <f t="shared" ca="1" si="18"/>
        <v/>
      </c>
      <c r="AF41" s="44" t="str">
        <f t="shared" ca="1" si="19"/>
        <v/>
      </c>
      <c r="AG41" s="44" t="str">
        <f t="shared" ca="1" si="20"/>
        <v/>
      </c>
      <c r="AH41" s="44" t="str">
        <f t="shared" ca="1" si="21"/>
        <v/>
      </c>
      <c r="AI41" s="44" t="str">
        <f t="shared" ca="1" si="22"/>
        <v/>
      </c>
      <c r="AJ41" s="44"/>
      <c r="AK41" s="44"/>
      <c r="AL41" s="44"/>
      <c r="AM41" s="44" t="str">
        <f t="shared" ca="1" si="23"/>
        <v/>
      </c>
      <c r="AN41" s="44" t="str">
        <f t="shared" ca="1" si="24"/>
        <v/>
      </c>
      <c r="AP41" s="44">
        <f t="shared" si="25"/>
        <v>0</v>
      </c>
      <c r="AQ41" s="44">
        <f t="shared" si="26"/>
        <v>34</v>
      </c>
      <c r="AR41" s="44" t="str">
        <f t="shared" ca="1" si="27"/>
        <v/>
      </c>
      <c r="AS41" s="44" t="str">
        <f t="shared" si="28"/>
        <v/>
      </c>
      <c r="AT41" s="44" t="str">
        <f t="shared" si="5"/>
        <v/>
      </c>
      <c r="AU41" s="44" t="str">
        <f t="shared" ca="1" si="29"/>
        <v/>
      </c>
    </row>
    <row r="42" spans="1:47" ht="21.95" customHeight="1" x14ac:dyDescent="0.4">
      <c r="A42" s="167">
        <v>35</v>
      </c>
      <c r="B42" s="133"/>
      <c r="C42" s="133"/>
      <c r="D42" s="133"/>
      <c r="E42" s="133"/>
      <c r="F42" s="58"/>
      <c r="G42" s="57"/>
      <c r="H42" s="133"/>
      <c r="I42" s="141"/>
      <c r="J42" s="125" t="str">
        <f>IF(OR(AND($S42=0,$R42&lt;&gt;2),AND($S42&lt;&gt;0,$R42=2)),リスト!$Y$3,IF(OR($W42&gt;0,$X42&gt;0),リスト!$Y$4,IF(AND($Q42=1,OR($R42=4,$R42=5)),リスト!$Y$5,IF($Y42&gt;0,リスト!$Y$6,IF($Z42&gt;0,リスト!$Y$7,"")))))</f>
        <v/>
      </c>
      <c r="K42" s="126" t="str">
        <f>IF($N42&lt;&gt;"",COUNTIF(エントリー!$R$8:$R$87,$M42),"")</f>
        <v/>
      </c>
      <c r="M42" s="44">
        <f t="shared" si="30"/>
        <v>35</v>
      </c>
      <c r="N42" s="44" t="str">
        <f t="shared" si="6"/>
        <v/>
      </c>
      <c r="O42" s="44" t="str">
        <f t="shared" si="7"/>
        <v/>
      </c>
      <c r="P42" s="44">
        <f t="shared" si="8"/>
        <v>35</v>
      </c>
      <c r="Q42" s="44" t="str">
        <f>IFERROR(VLOOKUP(F42,リスト!$N$2:$O$3,2,FALSE),"")</f>
        <v/>
      </c>
      <c r="R42" s="44" t="str">
        <f>IFERROR(VLOOKUP(G42,リスト!$B$2:$C$7,2,FALSE),"")</f>
        <v/>
      </c>
      <c r="S42" s="44" t="str">
        <f>IFERROR(VLOOKUP(H42,リスト!$F$10:$H$51,2,FALSE),"")</f>
        <v/>
      </c>
      <c r="T42" s="44" t="str">
        <f>IFERROR(VLOOKUP(H42,リスト!$F$10:$H$51,3,FALSE),"")</f>
        <v/>
      </c>
      <c r="U42" s="44" t="str">
        <f t="shared" si="9"/>
        <v/>
      </c>
      <c r="V42" s="44" t="str">
        <f t="shared" si="10"/>
        <v/>
      </c>
      <c r="W42" s="44">
        <f t="shared" si="11"/>
        <v>0</v>
      </c>
      <c r="X42" s="44">
        <f t="shared" si="12"/>
        <v>0</v>
      </c>
      <c r="Y42" s="44">
        <f t="shared" si="13"/>
        <v>0</v>
      </c>
      <c r="Z42" s="44">
        <f t="shared" si="14"/>
        <v>0</v>
      </c>
      <c r="AB42" s="44" t="str">
        <f t="shared" ca="1" si="15"/>
        <v/>
      </c>
      <c r="AC42" s="44" t="str">
        <f t="shared" ca="1" si="16"/>
        <v/>
      </c>
      <c r="AD42" s="44" t="str">
        <f t="shared" ca="1" si="17"/>
        <v/>
      </c>
      <c r="AE42" s="44" t="str">
        <f t="shared" ca="1" si="18"/>
        <v/>
      </c>
      <c r="AF42" s="44" t="str">
        <f t="shared" ca="1" si="19"/>
        <v/>
      </c>
      <c r="AG42" s="44" t="str">
        <f t="shared" ca="1" si="20"/>
        <v/>
      </c>
      <c r="AH42" s="44" t="str">
        <f t="shared" ca="1" si="21"/>
        <v/>
      </c>
      <c r="AI42" s="44" t="str">
        <f t="shared" ca="1" si="22"/>
        <v/>
      </c>
      <c r="AJ42" s="44"/>
      <c r="AK42" s="44"/>
      <c r="AL42" s="44"/>
      <c r="AM42" s="44" t="str">
        <f t="shared" ca="1" si="23"/>
        <v/>
      </c>
      <c r="AN42" s="44" t="str">
        <f t="shared" ca="1" si="24"/>
        <v/>
      </c>
      <c r="AP42" s="44">
        <f t="shared" si="25"/>
        <v>0</v>
      </c>
      <c r="AQ42" s="44">
        <f t="shared" si="26"/>
        <v>35</v>
      </c>
      <c r="AR42" s="44" t="str">
        <f t="shared" ca="1" si="27"/>
        <v/>
      </c>
      <c r="AS42" s="44" t="str">
        <f t="shared" si="28"/>
        <v/>
      </c>
      <c r="AT42" s="44" t="str">
        <f t="shared" si="5"/>
        <v/>
      </c>
      <c r="AU42" s="44" t="str">
        <f t="shared" ca="1" si="29"/>
        <v/>
      </c>
    </row>
    <row r="43" spans="1:47" ht="21.95" customHeight="1" x14ac:dyDescent="0.4">
      <c r="A43" s="167">
        <v>36</v>
      </c>
      <c r="B43" s="133"/>
      <c r="C43" s="133"/>
      <c r="D43" s="133"/>
      <c r="E43" s="133"/>
      <c r="F43" s="58"/>
      <c r="G43" s="57"/>
      <c r="H43" s="133"/>
      <c r="I43" s="141"/>
      <c r="J43" s="125" t="str">
        <f>IF(OR(AND($S43=0,$R43&lt;&gt;2),AND($S43&lt;&gt;0,$R43=2)),リスト!$Y$3,IF(OR($W43&gt;0,$X43&gt;0),リスト!$Y$4,IF(AND($Q43=1,OR($R43=4,$R43=5)),リスト!$Y$5,IF($Y43&gt;0,リスト!$Y$6,IF($Z43&gt;0,リスト!$Y$7,"")))))</f>
        <v/>
      </c>
      <c r="K43" s="126" t="str">
        <f>IF($N43&lt;&gt;"",COUNTIF(エントリー!$R$8:$R$87,$M43),"")</f>
        <v/>
      </c>
      <c r="M43" s="44">
        <f t="shared" si="30"/>
        <v>36</v>
      </c>
      <c r="N43" s="44" t="str">
        <f t="shared" si="6"/>
        <v/>
      </c>
      <c r="O43" s="44" t="str">
        <f t="shared" si="7"/>
        <v/>
      </c>
      <c r="P43" s="44">
        <f t="shared" si="8"/>
        <v>36</v>
      </c>
      <c r="Q43" s="44" t="str">
        <f>IFERROR(VLOOKUP(F43,リスト!$N$2:$O$3,2,FALSE),"")</f>
        <v/>
      </c>
      <c r="R43" s="44" t="str">
        <f>IFERROR(VLOOKUP(G43,リスト!$B$2:$C$7,2,FALSE),"")</f>
        <v/>
      </c>
      <c r="S43" s="44" t="str">
        <f>IFERROR(VLOOKUP(H43,リスト!$F$10:$H$51,2,FALSE),"")</f>
        <v/>
      </c>
      <c r="T43" s="44" t="str">
        <f>IFERROR(VLOOKUP(H43,リスト!$F$10:$H$51,3,FALSE),"")</f>
        <v/>
      </c>
      <c r="U43" s="44" t="str">
        <f t="shared" si="9"/>
        <v/>
      </c>
      <c r="V43" s="44" t="str">
        <f t="shared" si="10"/>
        <v/>
      </c>
      <c r="W43" s="44">
        <f t="shared" si="11"/>
        <v>0</v>
      </c>
      <c r="X43" s="44">
        <f t="shared" si="12"/>
        <v>0</v>
      </c>
      <c r="Y43" s="44">
        <f t="shared" si="13"/>
        <v>0</v>
      </c>
      <c r="Z43" s="44">
        <f t="shared" si="14"/>
        <v>0</v>
      </c>
      <c r="AB43" s="44" t="str">
        <f t="shared" ca="1" si="15"/>
        <v/>
      </c>
      <c r="AC43" s="44" t="str">
        <f t="shared" ca="1" si="16"/>
        <v/>
      </c>
      <c r="AD43" s="44" t="str">
        <f t="shared" ca="1" si="17"/>
        <v/>
      </c>
      <c r="AE43" s="44" t="str">
        <f t="shared" ca="1" si="18"/>
        <v/>
      </c>
      <c r="AF43" s="44" t="str">
        <f t="shared" ca="1" si="19"/>
        <v/>
      </c>
      <c r="AG43" s="44" t="str">
        <f t="shared" ca="1" si="20"/>
        <v/>
      </c>
      <c r="AH43" s="44" t="str">
        <f t="shared" ca="1" si="21"/>
        <v/>
      </c>
      <c r="AI43" s="44" t="str">
        <f t="shared" ca="1" si="22"/>
        <v/>
      </c>
      <c r="AJ43" s="44"/>
      <c r="AK43" s="44"/>
      <c r="AL43" s="44"/>
      <c r="AM43" s="44" t="str">
        <f t="shared" ca="1" si="23"/>
        <v/>
      </c>
      <c r="AN43" s="44" t="str">
        <f t="shared" ca="1" si="24"/>
        <v/>
      </c>
      <c r="AP43" s="44">
        <f t="shared" si="25"/>
        <v>0</v>
      </c>
      <c r="AQ43" s="44">
        <f t="shared" si="26"/>
        <v>36</v>
      </c>
      <c r="AR43" s="44" t="str">
        <f t="shared" ca="1" si="27"/>
        <v/>
      </c>
      <c r="AS43" s="44" t="str">
        <f t="shared" si="28"/>
        <v/>
      </c>
      <c r="AT43" s="44" t="str">
        <f t="shared" si="5"/>
        <v/>
      </c>
      <c r="AU43" s="44" t="str">
        <f t="shared" ca="1" si="29"/>
        <v/>
      </c>
    </row>
    <row r="44" spans="1:47" ht="21.95" customHeight="1" x14ac:dyDescent="0.4">
      <c r="A44" s="167">
        <v>37</v>
      </c>
      <c r="B44" s="133"/>
      <c r="C44" s="133"/>
      <c r="D44" s="133"/>
      <c r="E44" s="133"/>
      <c r="F44" s="58"/>
      <c r="G44" s="57"/>
      <c r="H44" s="133"/>
      <c r="I44" s="141"/>
      <c r="J44" s="125" t="str">
        <f>IF(OR(AND($S44=0,$R44&lt;&gt;2),AND($S44&lt;&gt;0,$R44=2)),リスト!$Y$3,IF(OR($W44&gt;0,$X44&gt;0),リスト!$Y$4,IF(AND($Q44=1,OR($R44=4,$R44=5)),リスト!$Y$5,IF($Y44&gt;0,リスト!$Y$6,IF($Z44&gt;0,リスト!$Y$7,"")))))</f>
        <v/>
      </c>
      <c r="K44" s="126" t="str">
        <f>IF($N44&lt;&gt;"",COUNTIF(エントリー!$R$8:$R$87,$M44),"")</f>
        <v/>
      </c>
      <c r="M44" s="44">
        <f t="shared" si="30"/>
        <v>37</v>
      </c>
      <c r="N44" s="44" t="str">
        <f t="shared" si="6"/>
        <v/>
      </c>
      <c r="O44" s="44" t="str">
        <f t="shared" si="7"/>
        <v/>
      </c>
      <c r="P44" s="44">
        <f t="shared" si="8"/>
        <v>37</v>
      </c>
      <c r="Q44" s="44" t="str">
        <f>IFERROR(VLOOKUP(F44,リスト!$N$2:$O$3,2,FALSE),"")</f>
        <v/>
      </c>
      <c r="R44" s="44" t="str">
        <f>IFERROR(VLOOKUP(G44,リスト!$B$2:$C$7,2,FALSE),"")</f>
        <v/>
      </c>
      <c r="S44" s="44" t="str">
        <f>IFERROR(VLOOKUP(H44,リスト!$F$10:$H$51,2,FALSE),"")</f>
        <v/>
      </c>
      <c r="T44" s="44" t="str">
        <f>IFERROR(VLOOKUP(H44,リスト!$F$10:$H$51,3,FALSE),"")</f>
        <v/>
      </c>
      <c r="U44" s="44" t="str">
        <f t="shared" si="9"/>
        <v/>
      </c>
      <c r="V44" s="44" t="str">
        <f t="shared" si="10"/>
        <v/>
      </c>
      <c r="W44" s="44">
        <f t="shared" si="11"/>
        <v>0</v>
      </c>
      <c r="X44" s="44">
        <f t="shared" si="12"/>
        <v>0</v>
      </c>
      <c r="Y44" s="44">
        <f t="shared" si="13"/>
        <v>0</v>
      </c>
      <c r="Z44" s="44">
        <f t="shared" si="14"/>
        <v>0</v>
      </c>
      <c r="AB44" s="44" t="str">
        <f t="shared" ca="1" si="15"/>
        <v/>
      </c>
      <c r="AC44" s="44" t="str">
        <f t="shared" ca="1" si="16"/>
        <v/>
      </c>
      <c r="AD44" s="44" t="str">
        <f t="shared" ca="1" si="17"/>
        <v/>
      </c>
      <c r="AE44" s="44" t="str">
        <f t="shared" ca="1" si="18"/>
        <v/>
      </c>
      <c r="AF44" s="44" t="str">
        <f t="shared" ca="1" si="19"/>
        <v/>
      </c>
      <c r="AG44" s="44" t="str">
        <f t="shared" ca="1" si="20"/>
        <v/>
      </c>
      <c r="AH44" s="44" t="str">
        <f t="shared" ca="1" si="21"/>
        <v/>
      </c>
      <c r="AI44" s="44" t="str">
        <f t="shared" ca="1" si="22"/>
        <v/>
      </c>
      <c r="AJ44" s="44"/>
      <c r="AK44" s="44"/>
      <c r="AL44" s="44"/>
      <c r="AM44" s="44" t="str">
        <f t="shared" ca="1" si="23"/>
        <v/>
      </c>
      <c r="AN44" s="44" t="str">
        <f t="shared" ca="1" si="24"/>
        <v/>
      </c>
      <c r="AP44" s="44">
        <f t="shared" si="25"/>
        <v>0</v>
      </c>
      <c r="AQ44" s="44">
        <f t="shared" si="26"/>
        <v>37</v>
      </c>
      <c r="AR44" s="44" t="str">
        <f t="shared" ca="1" si="27"/>
        <v/>
      </c>
      <c r="AS44" s="44" t="str">
        <f t="shared" si="28"/>
        <v/>
      </c>
      <c r="AT44" s="44" t="str">
        <f t="shared" si="5"/>
        <v/>
      </c>
      <c r="AU44" s="44" t="str">
        <f t="shared" ca="1" si="29"/>
        <v/>
      </c>
    </row>
    <row r="45" spans="1:47" ht="21.95" customHeight="1" x14ac:dyDescent="0.4">
      <c r="A45" s="167">
        <v>38</v>
      </c>
      <c r="B45" s="133"/>
      <c r="C45" s="133"/>
      <c r="D45" s="133"/>
      <c r="E45" s="133"/>
      <c r="F45" s="58"/>
      <c r="G45" s="57"/>
      <c r="H45" s="133"/>
      <c r="I45" s="141"/>
      <c r="J45" s="125" t="str">
        <f>IF(OR(AND($S45=0,$R45&lt;&gt;2),AND($S45&lt;&gt;0,$R45=2)),リスト!$Y$3,IF(OR($W45&gt;0,$X45&gt;0),リスト!$Y$4,IF(AND($Q45=1,OR($R45=4,$R45=5)),リスト!$Y$5,IF($Y45&gt;0,リスト!$Y$6,IF($Z45&gt;0,リスト!$Y$7,"")))))</f>
        <v/>
      </c>
      <c r="K45" s="126" t="str">
        <f>IF($N45&lt;&gt;"",COUNTIF(エントリー!$R$8:$R$87,$M45),"")</f>
        <v/>
      </c>
      <c r="M45" s="44">
        <f t="shared" si="30"/>
        <v>38</v>
      </c>
      <c r="N45" s="44" t="str">
        <f t="shared" si="6"/>
        <v/>
      </c>
      <c r="O45" s="44" t="str">
        <f t="shared" si="7"/>
        <v/>
      </c>
      <c r="P45" s="44">
        <f t="shared" si="8"/>
        <v>38</v>
      </c>
      <c r="Q45" s="44" t="str">
        <f>IFERROR(VLOOKUP(F45,リスト!$N$2:$O$3,2,FALSE),"")</f>
        <v/>
      </c>
      <c r="R45" s="44" t="str">
        <f>IFERROR(VLOOKUP(G45,リスト!$B$2:$C$7,2,FALSE),"")</f>
        <v/>
      </c>
      <c r="S45" s="44" t="str">
        <f>IFERROR(VLOOKUP(H45,リスト!$F$10:$H$51,2,FALSE),"")</f>
        <v/>
      </c>
      <c r="T45" s="44" t="str">
        <f>IFERROR(VLOOKUP(H45,リスト!$F$10:$H$51,3,FALSE),"")</f>
        <v/>
      </c>
      <c r="U45" s="44" t="str">
        <f t="shared" si="9"/>
        <v/>
      </c>
      <c r="V45" s="44" t="str">
        <f t="shared" si="10"/>
        <v/>
      </c>
      <c r="W45" s="44">
        <f t="shared" si="11"/>
        <v>0</v>
      </c>
      <c r="X45" s="44">
        <f t="shared" si="12"/>
        <v>0</v>
      </c>
      <c r="Y45" s="44">
        <f t="shared" si="13"/>
        <v>0</v>
      </c>
      <c r="Z45" s="44">
        <f t="shared" si="14"/>
        <v>0</v>
      </c>
      <c r="AB45" s="44" t="str">
        <f t="shared" ca="1" si="15"/>
        <v/>
      </c>
      <c r="AC45" s="44" t="str">
        <f t="shared" ca="1" si="16"/>
        <v/>
      </c>
      <c r="AD45" s="44" t="str">
        <f t="shared" ca="1" si="17"/>
        <v/>
      </c>
      <c r="AE45" s="44" t="str">
        <f t="shared" ca="1" si="18"/>
        <v/>
      </c>
      <c r="AF45" s="44" t="str">
        <f t="shared" ca="1" si="19"/>
        <v/>
      </c>
      <c r="AG45" s="44" t="str">
        <f t="shared" ca="1" si="20"/>
        <v/>
      </c>
      <c r="AH45" s="44" t="str">
        <f t="shared" ca="1" si="21"/>
        <v/>
      </c>
      <c r="AI45" s="44" t="str">
        <f t="shared" ca="1" si="22"/>
        <v/>
      </c>
      <c r="AJ45" s="44"/>
      <c r="AK45" s="44"/>
      <c r="AL45" s="44"/>
      <c r="AM45" s="44" t="str">
        <f t="shared" ca="1" si="23"/>
        <v/>
      </c>
      <c r="AN45" s="44" t="str">
        <f t="shared" ca="1" si="24"/>
        <v/>
      </c>
      <c r="AP45" s="44">
        <f t="shared" si="25"/>
        <v>0</v>
      </c>
      <c r="AQ45" s="44">
        <f t="shared" si="26"/>
        <v>38</v>
      </c>
      <c r="AR45" s="44" t="str">
        <f t="shared" ca="1" si="27"/>
        <v/>
      </c>
      <c r="AS45" s="44" t="str">
        <f t="shared" si="28"/>
        <v/>
      </c>
      <c r="AT45" s="44" t="str">
        <f t="shared" si="5"/>
        <v/>
      </c>
      <c r="AU45" s="44" t="str">
        <f t="shared" ca="1" si="29"/>
        <v/>
      </c>
    </row>
    <row r="46" spans="1:47" ht="21.95" customHeight="1" x14ac:dyDescent="0.4">
      <c r="A46" s="167">
        <v>39</v>
      </c>
      <c r="B46" s="133"/>
      <c r="C46" s="133"/>
      <c r="D46" s="133"/>
      <c r="E46" s="133"/>
      <c r="F46" s="58"/>
      <c r="G46" s="57"/>
      <c r="H46" s="133"/>
      <c r="I46" s="141"/>
      <c r="J46" s="125" t="str">
        <f>IF(OR(AND($S46=0,$R46&lt;&gt;2),AND($S46&lt;&gt;0,$R46=2)),リスト!$Y$3,IF(OR($W46&gt;0,$X46&gt;0),リスト!$Y$4,IF(AND($Q46=1,OR($R46=4,$R46=5)),リスト!$Y$5,IF($Y46&gt;0,リスト!$Y$6,IF($Z46&gt;0,リスト!$Y$7,"")))))</f>
        <v/>
      </c>
      <c r="K46" s="126" t="str">
        <f>IF($N46&lt;&gt;"",COUNTIF(エントリー!$R$8:$R$87,$M46),"")</f>
        <v/>
      </c>
      <c r="M46" s="44">
        <f t="shared" si="30"/>
        <v>39</v>
      </c>
      <c r="N46" s="44" t="str">
        <f t="shared" si="6"/>
        <v/>
      </c>
      <c r="O46" s="44" t="str">
        <f t="shared" si="7"/>
        <v/>
      </c>
      <c r="P46" s="44">
        <f t="shared" si="8"/>
        <v>39</v>
      </c>
      <c r="Q46" s="44" t="str">
        <f>IFERROR(VLOOKUP(F46,リスト!$N$2:$O$3,2,FALSE),"")</f>
        <v/>
      </c>
      <c r="R46" s="44" t="str">
        <f>IFERROR(VLOOKUP(G46,リスト!$B$2:$C$7,2,FALSE),"")</f>
        <v/>
      </c>
      <c r="S46" s="44" t="str">
        <f>IFERROR(VLOOKUP(H46,リスト!$F$10:$H$51,2,FALSE),"")</f>
        <v/>
      </c>
      <c r="T46" s="44" t="str">
        <f>IFERROR(VLOOKUP(H46,リスト!$F$10:$H$51,3,FALSE),"")</f>
        <v/>
      </c>
      <c r="U46" s="44" t="str">
        <f t="shared" si="9"/>
        <v/>
      </c>
      <c r="V46" s="44" t="str">
        <f t="shared" si="10"/>
        <v/>
      </c>
      <c r="W46" s="44">
        <f t="shared" si="11"/>
        <v>0</v>
      </c>
      <c r="X46" s="44">
        <f t="shared" si="12"/>
        <v>0</v>
      </c>
      <c r="Y46" s="44">
        <f t="shared" si="13"/>
        <v>0</v>
      </c>
      <c r="Z46" s="44">
        <f t="shared" si="14"/>
        <v>0</v>
      </c>
      <c r="AB46" s="44" t="str">
        <f t="shared" ca="1" si="15"/>
        <v/>
      </c>
      <c r="AC46" s="44" t="str">
        <f t="shared" ca="1" si="16"/>
        <v/>
      </c>
      <c r="AD46" s="44" t="str">
        <f t="shared" ca="1" si="17"/>
        <v/>
      </c>
      <c r="AE46" s="44" t="str">
        <f t="shared" ca="1" si="18"/>
        <v/>
      </c>
      <c r="AF46" s="44" t="str">
        <f t="shared" ca="1" si="19"/>
        <v/>
      </c>
      <c r="AG46" s="44" t="str">
        <f t="shared" ca="1" si="20"/>
        <v/>
      </c>
      <c r="AH46" s="44" t="str">
        <f t="shared" ca="1" si="21"/>
        <v/>
      </c>
      <c r="AI46" s="44" t="str">
        <f t="shared" ca="1" si="22"/>
        <v/>
      </c>
      <c r="AJ46" s="44"/>
      <c r="AK46" s="44"/>
      <c r="AL46" s="44"/>
      <c r="AM46" s="44" t="str">
        <f t="shared" ca="1" si="23"/>
        <v/>
      </c>
      <c r="AN46" s="44" t="str">
        <f t="shared" ca="1" si="24"/>
        <v/>
      </c>
      <c r="AP46" s="44">
        <f t="shared" si="25"/>
        <v>0</v>
      </c>
      <c r="AQ46" s="44">
        <f t="shared" si="26"/>
        <v>39</v>
      </c>
      <c r="AR46" s="44" t="str">
        <f t="shared" ca="1" si="27"/>
        <v/>
      </c>
      <c r="AS46" s="44" t="str">
        <f t="shared" si="28"/>
        <v/>
      </c>
      <c r="AT46" s="44" t="str">
        <f t="shared" si="5"/>
        <v/>
      </c>
      <c r="AU46" s="44" t="str">
        <f t="shared" ca="1" si="29"/>
        <v/>
      </c>
    </row>
    <row r="47" spans="1:47" ht="21.95" customHeight="1" x14ac:dyDescent="0.4">
      <c r="A47" s="167">
        <v>40</v>
      </c>
      <c r="B47" s="133"/>
      <c r="C47" s="133"/>
      <c r="D47" s="133"/>
      <c r="E47" s="133"/>
      <c r="F47" s="58"/>
      <c r="G47" s="57"/>
      <c r="H47" s="133"/>
      <c r="I47" s="141"/>
      <c r="J47" s="125" t="str">
        <f>IF(OR(AND($S47=0,$R47&lt;&gt;2),AND($S47&lt;&gt;0,$R47=2)),リスト!$Y$3,IF(OR($W47&gt;0,$X47&gt;0),リスト!$Y$4,IF(AND($Q47=1,OR($R47=4,$R47=5)),リスト!$Y$5,IF($Y47&gt;0,リスト!$Y$6,IF($Z47&gt;0,リスト!$Y$7,"")))))</f>
        <v/>
      </c>
      <c r="K47" s="126" t="str">
        <f>IF($N47&lt;&gt;"",COUNTIF(エントリー!$R$8:$R$87,$M47),"")</f>
        <v/>
      </c>
      <c r="M47" s="44">
        <f t="shared" si="30"/>
        <v>40</v>
      </c>
      <c r="N47" s="44" t="str">
        <f t="shared" si="6"/>
        <v/>
      </c>
      <c r="O47" s="44" t="str">
        <f t="shared" si="7"/>
        <v/>
      </c>
      <c r="P47" s="44">
        <f t="shared" si="8"/>
        <v>40</v>
      </c>
      <c r="Q47" s="44" t="str">
        <f>IFERROR(VLOOKUP(F47,リスト!$N$2:$O$3,2,FALSE),"")</f>
        <v/>
      </c>
      <c r="R47" s="44" t="str">
        <f>IFERROR(VLOOKUP(G47,リスト!$B$2:$C$7,2,FALSE),"")</f>
        <v/>
      </c>
      <c r="S47" s="44" t="str">
        <f>IFERROR(VLOOKUP(H47,リスト!$F$10:$H$51,2,FALSE),"")</f>
        <v/>
      </c>
      <c r="T47" s="44" t="str">
        <f>IFERROR(VLOOKUP(H47,リスト!$F$10:$H$51,3,FALSE),"")</f>
        <v/>
      </c>
      <c r="U47" s="44" t="str">
        <f t="shared" si="9"/>
        <v/>
      </c>
      <c r="V47" s="44" t="str">
        <f t="shared" si="10"/>
        <v/>
      </c>
      <c r="W47" s="44">
        <f t="shared" si="11"/>
        <v>0</v>
      </c>
      <c r="X47" s="44">
        <f t="shared" si="12"/>
        <v>0</v>
      </c>
      <c r="Y47" s="44">
        <f t="shared" si="13"/>
        <v>0</v>
      </c>
      <c r="Z47" s="44">
        <f t="shared" si="14"/>
        <v>0</v>
      </c>
      <c r="AB47" s="44" t="str">
        <f t="shared" ca="1" si="15"/>
        <v/>
      </c>
      <c r="AC47" s="44" t="str">
        <f t="shared" ca="1" si="16"/>
        <v/>
      </c>
      <c r="AD47" s="44" t="str">
        <f t="shared" ca="1" si="17"/>
        <v/>
      </c>
      <c r="AE47" s="44" t="str">
        <f t="shared" ca="1" si="18"/>
        <v/>
      </c>
      <c r="AF47" s="44" t="str">
        <f t="shared" ca="1" si="19"/>
        <v/>
      </c>
      <c r="AG47" s="44" t="str">
        <f t="shared" ca="1" si="20"/>
        <v/>
      </c>
      <c r="AH47" s="44" t="str">
        <f t="shared" ca="1" si="21"/>
        <v/>
      </c>
      <c r="AI47" s="44" t="str">
        <f t="shared" ca="1" si="22"/>
        <v/>
      </c>
      <c r="AJ47" s="44"/>
      <c r="AK47" s="44"/>
      <c r="AL47" s="44"/>
      <c r="AM47" s="44" t="str">
        <f t="shared" ca="1" si="23"/>
        <v/>
      </c>
      <c r="AN47" s="44" t="str">
        <f t="shared" ca="1" si="24"/>
        <v/>
      </c>
      <c r="AP47" s="44">
        <f t="shared" si="25"/>
        <v>0</v>
      </c>
      <c r="AQ47" s="44">
        <f t="shared" si="26"/>
        <v>40</v>
      </c>
      <c r="AR47" s="44" t="str">
        <f t="shared" ca="1" si="27"/>
        <v/>
      </c>
      <c r="AS47" s="44" t="str">
        <f t="shared" si="28"/>
        <v/>
      </c>
      <c r="AT47" s="44" t="str">
        <f t="shared" si="5"/>
        <v/>
      </c>
      <c r="AU47" s="44" t="str">
        <f t="shared" ca="1" si="29"/>
        <v/>
      </c>
    </row>
    <row r="48" spans="1:47" ht="21.95" customHeight="1" x14ac:dyDescent="0.4">
      <c r="A48" s="167">
        <v>41</v>
      </c>
      <c r="B48" s="133"/>
      <c r="C48" s="133"/>
      <c r="D48" s="133"/>
      <c r="E48" s="133"/>
      <c r="F48" s="58"/>
      <c r="G48" s="57"/>
      <c r="H48" s="133"/>
      <c r="I48" s="141"/>
      <c r="J48" s="125" t="str">
        <f>IF(OR(AND($S48=0,$R48&lt;&gt;2),AND($S48&lt;&gt;0,$R48=2)),リスト!$Y$3,IF(OR($W48&gt;0,$X48&gt;0),リスト!$Y$4,IF(AND($Q48=1,OR($R48=4,$R48=5)),リスト!$Y$5,IF($Y48&gt;0,リスト!$Y$6,IF($Z48&gt;0,リスト!$Y$7,"")))))</f>
        <v/>
      </c>
      <c r="K48" s="126" t="str">
        <f>IF($N48&lt;&gt;"",COUNTIF(エントリー!$R$8:$R$87,$M48),"")</f>
        <v/>
      </c>
      <c r="M48" s="44">
        <f t="shared" si="30"/>
        <v>41</v>
      </c>
      <c r="N48" s="44" t="str">
        <f t="shared" si="6"/>
        <v/>
      </c>
      <c r="O48" s="44" t="str">
        <f t="shared" si="7"/>
        <v/>
      </c>
      <c r="P48" s="44">
        <f t="shared" si="8"/>
        <v>41</v>
      </c>
      <c r="Q48" s="44" t="str">
        <f>IFERROR(VLOOKUP(F48,リスト!$N$2:$O$3,2,FALSE),"")</f>
        <v/>
      </c>
      <c r="R48" s="44" t="str">
        <f>IFERROR(VLOOKUP(G48,リスト!$B$2:$C$7,2,FALSE),"")</f>
        <v/>
      </c>
      <c r="S48" s="44" t="str">
        <f>IFERROR(VLOOKUP(H48,リスト!$F$10:$H$51,2,FALSE),"")</f>
        <v/>
      </c>
      <c r="T48" s="44" t="str">
        <f>IFERROR(VLOOKUP(H48,リスト!$F$10:$H$51,3,FALSE),"")</f>
        <v/>
      </c>
      <c r="U48" s="44" t="str">
        <f t="shared" si="9"/>
        <v/>
      </c>
      <c r="V48" s="44" t="str">
        <f t="shared" si="10"/>
        <v/>
      </c>
      <c r="W48" s="44">
        <f t="shared" si="11"/>
        <v>0</v>
      </c>
      <c r="X48" s="44">
        <f t="shared" si="12"/>
        <v>0</v>
      </c>
      <c r="Y48" s="44">
        <f t="shared" si="13"/>
        <v>0</v>
      </c>
      <c r="Z48" s="44">
        <f t="shared" si="14"/>
        <v>0</v>
      </c>
      <c r="AB48" s="44" t="str">
        <f t="shared" ca="1" si="15"/>
        <v/>
      </c>
      <c r="AC48" s="44" t="str">
        <f t="shared" ca="1" si="16"/>
        <v/>
      </c>
      <c r="AD48" s="44" t="str">
        <f t="shared" ca="1" si="17"/>
        <v/>
      </c>
      <c r="AE48" s="44" t="str">
        <f t="shared" ca="1" si="18"/>
        <v/>
      </c>
      <c r="AF48" s="44" t="str">
        <f t="shared" ca="1" si="19"/>
        <v/>
      </c>
      <c r="AG48" s="44" t="str">
        <f t="shared" ca="1" si="20"/>
        <v/>
      </c>
      <c r="AH48" s="44" t="str">
        <f t="shared" ca="1" si="21"/>
        <v/>
      </c>
      <c r="AI48" s="44" t="str">
        <f t="shared" ca="1" si="22"/>
        <v/>
      </c>
      <c r="AJ48" s="44"/>
      <c r="AK48" s="44"/>
      <c r="AL48" s="44"/>
      <c r="AM48" s="44" t="str">
        <f t="shared" ca="1" si="23"/>
        <v/>
      </c>
      <c r="AN48" s="44" t="str">
        <f t="shared" ca="1" si="24"/>
        <v/>
      </c>
      <c r="AP48" s="44">
        <f t="shared" si="25"/>
        <v>0</v>
      </c>
      <c r="AQ48" s="44">
        <f t="shared" si="26"/>
        <v>41</v>
      </c>
      <c r="AR48" s="44" t="str">
        <f t="shared" ca="1" si="27"/>
        <v/>
      </c>
      <c r="AS48" s="44" t="str">
        <f t="shared" si="28"/>
        <v/>
      </c>
      <c r="AT48" s="44" t="str">
        <f t="shared" si="5"/>
        <v/>
      </c>
      <c r="AU48" s="44" t="str">
        <f t="shared" ca="1" si="29"/>
        <v/>
      </c>
    </row>
    <row r="49" spans="1:47" ht="21.95" customHeight="1" x14ac:dyDescent="0.4">
      <c r="A49" s="167">
        <v>42</v>
      </c>
      <c r="B49" s="133"/>
      <c r="C49" s="133"/>
      <c r="D49" s="133"/>
      <c r="E49" s="133"/>
      <c r="F49" s="58"/>
      <c r="G49" s="57"/>
      <c r="H49" s="133"/>
      <c r="I49" s="141"/>
      <c r="J49" s="125" t="str">
        <f>IF(OR(AND($S49=0,$R49&lt;&gt;2),AND($S49&lt;&gt;0,$R49=2)),リスト!$Y$3,IF(OR($W49&gt;0,$X49&gt;0),リスト!$Y$4,IF(AND($Q49=1,OR($R49=4,$R49=5)),リスト!$Y$5,IF($Y49&gt;0,リスト!$Y$6,IF($Z49&gt;0,リスト!$Y$7,"")))))</f>
        <v/>
      </c>
      <c r="K49" s="126" t="str">
        <f>IF($N49&lt;&gt;"",COUNTIF(エントリー!$R$8:$R$87,$M49),"")</f>
        <v/>
      </c>
      <c r="M49" s="44">
        <f t="shared" si="30"/>
        <v>42</v>
      </c>
      <c r="N49" s="44" t="str">
        <f t="shared" si="6"/>
        <v/>
      </c>
      <c r="O49" s="44" t="str">
        <f t="shared" si="7"/>
        <v/>
      </c>
      <c r="P49" s="44">
        <f t="shared" si="8"/>
        <v>42</v>
      </c>
      <c r="Q49" s="44" t="str">
        <f>IFERROR(VLOOKUP(F49,リスト!$N$2:$O$3,2,FALSE),"")</f>
        <v/>
      </c>
      <c r="R49" s="44" t="str">
        <f>IFERROR(VLOOKUP(G49,リスト!$B$2:$C$7,2,FALSE),"")</f>
        <v/>
      </c>
      <c r="S49" s="44" t="str">
        <f>IFERROR(VLOOKUP(H49,リスト!$F$10:$H$51,2,FALSE),"")</f>
        <v/>
      </c>
      <c r="T49" s="44" t="str">
        <f>IFERROR(VLOOKUP(H49,リスト!$F$10:$H$51,3,FALSE),"")</f>
        <v/>
      </c>
      <c r="U49" s="44" t="str">
        <f t="shared" si="9"/>
        <v/>
      </c>
      <c r="V49" s="44" t="str">
        <f t="shared" si="10"/>
        <v/>
      </c>
      <c r="W49" s="44">
        <f t="shared" si="11"/>
        <v>0</v>
      </c>
      <c r="X49" s="44">
        <f t="shared" si="12"/>
        <v>0</v>
      </c>
      <c r="Y49" s="44">
        <f t="shared" si="13"/>
        <v>0</v>
      </c>
      <c r="Z49" s="44">
        <f t="shared" si="14"/>
        <v>0</v>
      </c>
      <c r="AB49" s="44" t="str">
        <f t="shared" ca="1" si="15"/>
        <v/>
      </c>
      <c r="AC49" s="44" t="str">
        <f t="shared" ca="1" si="16"/>
        <v/>
      </c>
      <c r="AD49" s="44" t="str">
        <f t="shared" ca="1" si="17"/>
        <v/>
      </c>
      <c r="AE49" s="44" t="str">
        <f t="shared" ca="1" si="18"/>
        <v/>
      </c>
      <c r="AF49" s="44" t="str">
        <f t="shared" ca="1" si="19"/>
        <v/>
      </c>
      <c r="AG49" s="44" t="str">
        <f t="shared" ca="1" si="20"/>
        <v/>
      </c>
      <c r="AH49" s="44" t="str">
        <f t="shared" ca="1" si="21"/>
        <v/>
      </c>
      <c r="AI49" s="44" t="str">
        <f t="shared" ca="1" si="22"/>
        <v/>
      </c>
      <c r="AJ49" s="44"/>
      <c r="AK49" s="44"/>
      <c r="AL49" s="44"/>
      <c r="AM49" s="44" t="str">
        <f t="shared" ca="1" si="23"/>
        <v/>
      </c>
      <c r="AN49" s="44" t="str">
        <f t="shared" ca="1" si="24"/>
        <v/>
      </c>
      <c r="AP49" s="44">
        <f t="shared" si="25"/>
        <v>0</v>
      </c>
      <c r="AQ49" s="44">
        <f t="shared" si="26"/>
        <v>42</v>
      </c>
      <c r="AR49" s="44" t="str">
        <f t="shared" ca="1" si="27"/>
        <v/>
      </c>
      <c r="AS49" s="44" t="str">
        <f t="shared" si="28"/>
        <v/>
      </c>
      <c r="AT49" s="44" t="str">
        <f t="shared" si="5"/>
        <v/>
      </c>
      <c r="AU49" s="44" t="str">
        <f t="shared" ca="1" si="29"/>
        <v/>
      </c>
    </row>
    <row r="50" spans="1:47" ht="21.95" customHeight="1" x14ac:dyDescent="0.4">
      <c r="A50" s="167">
        <v>43</v>
      </c>
      <c r="B50" s="133"/>
      <c r="C50" s="133"/>
      <c r="D50" s="133"/>
      <c r="E50" s="133"/>
      <c r="F50" s="58"/>
      <c r="G50" s="57"/>
      <c r="H50" s="133"/>
      <c r="I50" s="141"/>
      <c r="J50" s="125" t="str">
        <f>IF(OR(AND($S50=0,$R50&lt;&gt;2),AND($S50&lt;&gt;0,$R50=2)),リスト!$Y$3,IF(OR($W50&gt;0,$X50&gt;0),リスト!$Y$4,IF(AND($Q50=1,OR($R50=4,$R50=5)),リスト!$Y$5,IF($Y50&gt;0,リスト!$Y$6,IF($Z50&gt;0,リスト!$Y$7,"")))))</f>
        <v/>
      </c>
      <c r="K50" s="126" t="str">
        <f>IF($N50&lt;&gt;"",COUNTIF(エントリー!$R$8:$R$87,$M50),"")</f>
        <v/>
      </c>
      <c r="M50" s="44">
        <f t="shared" si="30"/>
        <v>43</v>
      </c>
      <c r="N50" s="44" t="str">
        <f t="shared" si="6"/>
        <v/>
      </c>
      <c r="O50" s="44" t="str">
        <f t="shared" si="7"/>
        <v/>
      </c>
      <c r="P50" s="44">
        <f t="shared" si="8"/>
        <v>43</v>
      </c>
      <c r="Q50" s="44" t="str">
        <f>IFERROR(VLOOKUP(F50,リスト!$N$2:$O$3,2,FALSE),"")</f>
        <v/>
      </c>
      <c r="R50" s="44" t="str">
        <f>IFERROR(VLOOKUP(G50,リスト!$B$2:$C$7,2,FALSE),"")</f>
        <v/>
      </c>
      <c r="S50" s="44" t="str">
        <f>IFERROR(VLOOKUP(H50,リスト!$F$10:$H$51,2,FALSE),"")</f>
        <v/>
      </c>
      <c r="T50" s="44" t="str">
        <f>IFERROR(VLOOKUP(H50,リスト!$F$10:$H$51,3,FALSE),"")</f>
        <v/>
      </c>
      <c r="U50" s="44" t="str">
        <f t="shared" si="9"/>
        <v/>
      </c>
      <c r="V50" s="44" t="str">
        <f t="shared" si="10"/>
        <v/>
      </c>
      <c r="W50" s="44">
        <f t="shared" si="11"/>
        <v>0</v>
      </c>
      <c r="X50" s="44">
        <f t="shared" si="12"/>
        <v>0</v>
      </c>
      <c r="Y50" s="44">
        <f t="shared" si="13"/>
        <v>0</v>
      </c>
      <c r="Z50" s="44">
        <f t="shared" si="14"/>
        <v>0</v>
      </c>
      <c r="AB50" s="44" t="str">
        <f t="shared" ca="1" si="15"/>
        <v/>
      </c>
      <c r="AC50" s="44" t="str">
        <f t="shared" ca="1" si="16"/>
        <v/>
      </c>
      <c r="AD50" s="44" t="str">
        <f t="shared" ca="1" si="17"/>
        <v/>
      </c>
      <c r="AE50" s="44" t="str">
        <f t="shared" ca="1" si="18"/>
        <v/>
      </c>
      <c r="AF50" s="44" t="str">
        <f t="shared" ca="1" si="19"/>
        <v/>
      </c>
      <c r="AG50" s="44" t="str">
        <f t="shared" ca="1" si="20"/>
        <v/>
      </c>
      <c r="AH50" s="44" t="str">
        <f t="shared" ca="1" si="21"/>
        <v/>
      </c>
      <c r="AI50" s="44" t="str">
        <f t="shared" ca="1" si="22"/>
        <v/>
      </c>
      <c r="AJ50" s="44"/>
      <c r="AK50" s="44"/>
      <c r="AL50" s="44"/>
      <c r="AM50" s="44" t="str">
        <f t="shared" ca="1" si="23"/>
        <v/>
      </c>
      <c r="AN50" s="44" t="str">
        <f t="shared" ca="1" si="24"/>
        <v/>
      </c>
      <c r="AP50" s="44">
        <f t="shared" si="25"/>
        <v>0</v>
      </c>
      <c r="AQ50" s="44">
        <f t="shared" si="26"/>
        <v>43</v>
      </c>
      <c r="AR50" s="44" t="str">
        <f t="shared" ca="1" si="27"/>
        <v/>
      </c>
      <c r="AS50" s="44" t="str">
        <f t="shared" si="28"/>
        <v/>
      </c>
      <c r="AT50" s="44" t="str">
        <f t="shared" si="5"/>
        <v/>
      </c>
      <c r="AU50" s="44" t="str">
        <f t="shared" ca="1" si="29"/>
        <v/>
      </c>
    </row>
    <row r="51" spans="1:47" ht="21.95" customHeight="1" x14ac:dyDescent="0.4">
      <c r="A51" s="167">
        <v>44</v>
      </c>
      <c r="B51" s="133"/>
      <c r="C51" s="133"/>
      <c r="D51" s="133"/>
      <c r="E51" s="133"/>
      <c r="F51" s="58"/>
      <c r="G51" s="57"/>
      <c r="H51" s="133"/>
      <c r="I51" s="141"/>
      <c r="J51" s="125" t="str">
        <f>IF(OR(AND($S51=0,$R51&lt;&gt;2),AND($S51&lt;&gt;0,$R51=2)),リスト!$Y$3,IF(OR($W51&gt;0,$X51&gt;0),リスト!$Y$4,IF(AND($Q51=1,OR($R51=4,$R51=5)),リスト!$Y$5,IF($Y51&gt;0,リスト!$Y$6,IF($Z51&gt;0,リスト!$Y$7,"")))))</f>
        <v/>
      </c>
      <c r="K51" s="126" t="str">
        <f>IF($N51&lt;&gt;"",COUNTIF(エントリー!$R$8:$R$87,$M51),"")</f>
        <v/>
      </c>
      <c r="M51" s="44">
        <f t="shared" si="30"/>
        <v>44</v>
      </c>
      <c r="N51" s="44" t="str">
        <f t="shared" si="6"/>
        <v/>
      </c>
      <c r="O51" s="44" t="str">
        <f t="shared" si="7"/>
        <v/>
      </c>
      <c r="P51" s="44">
        <f t="shared" si="8"/>
        <v>44</v>
      </c>
      <c r="Q51" s="44" t="str">
        <f>IFERROR(VLOOKUP(F51,リスト!$N$2:$O$3,2,FALSE),"")</f>
        <v/>
      </c>
      <c r="R51" s="44" t="str">
        <f>IFERROR(VLOOKUP(G51,リスト!$B$2:$C$7,2,FALSE),"")</f>
        <v/>
      </c>
      <c r="S51" s="44" t="str">
        <f>IFERROR(VLOOKUP(H51,リスト!$F$10:$H$51,2,FALSE),"")</f>
        <v/>
      </c>
      <c r="T51" s="44" t="str">
        <f>IFERROR(VLOOKUP(H51,リスト!$F$10:$H$51,3,FALSE),"")</f>
        <v/>
      </c>
      <c r="U51" s="44" t="str">
        <f t="shared" si="9"/>
        <v/>
      </c>
      <c r="V51" s="44" t="str">
        <f t="shared" si="10"/>
        <v/>
      </c>
      <c r="W51" s="44">
        <f t="shared" si="11"/>
        <v>0</v>
      </c>
      <c r="X51" s="44">
        <f t="shared" si="12"/>
        <v>0</v>
      </c>
      <c r="Y51" s="44">
        <f t="shared" si="13"/>
        <v>0</v>
      </c>
      <c r="Z51" s="44">
        <f t="shared" si="14"/>
        <v>0</v>
      </c>
      <c r="AB51" s="44" t="str">
        <f t="shared" ca="1" si="15"/>
        <v/>
      </c>
      <c r="AC51" s="44" t="str">
        <f t="shared" ca="1" si="16"/>
        <v/>
      </c>
      <c r="AD51" s="44" t="str">
        <f t="shared" ca="1" si="17"/>
        <v/>
      </c>
      <c r="AE51" s="44" t="str">
        <f t="shared" ca="1" si="18"/>
        <v/>
      </c>
      <c r="AF51" s="44" t="str">
        <f t="shared" ca="1" si="19"/>
        <v/>
      </c>
      <c r="AG51" s="44" t="str">
        <f t="shared" ca="1" si="20"/>
        <v/>
      </c>
      <c r="AH51" s="44" t="str">
        <f t="shared" ca="1" si="21"/>
        <v/>
      </c>
      <c r="AI51" s="44" t="str">
        <f t="shared" ca="1" si="22"/>
        <v/>
      </c>
      <c r="AJ51" s="44"/>
      <c r="AK51" s="44"/>
      <c r="AL51" s="44"/>
      <c r="AM51" s="44" t="str">
        <f t="shared" ca="1" si="23"/>
        <v/>
      </c>
      <c r="AN51" s="44" t="str">
        <f t="shared" ca="1" si="24"/>
        <v/>
      </c>
      <c r="AP51" s="44">
        <f t="shared" si="25"/>
        <v>0</v>
      </c>
      <c r="AQ51" s="44">
        <f t="shared" si="26"/>
        <v>44</v>
      </c>
      <c r="AR51" s="44" t="str">
        <f t="shared" ca="1" si="27"/>
        <v/>
      </c>
      <c r="AS51" s="44" t="str">
        <f t="shared" si="28"/>
        <v/>
      </c>
      <c r="AT51" s="44" t="str">
        <f t="shared" si="5"/>
        <v/>
      </c>
      <c r="AU51" s="44" t="str">
        <f t="shared" ca="1" si="29"/>
        <v/>
      </c>
    </row>
    <row r="52" spans="1:47" ht="21.95" customHeight="1" x14ac:dyDescent="0.4">
      <c r="A52" s="167">
        <v>45</v>
      </c>
      <c r="B52" s="133"/>
      <c r="C52" s="133"/>
      <c r="D52" s="133"/>
      <c r="E52" s="133"/>
      <c r="F52" s="58"/>
      <c r="G52" s="57"/>
      <c r="H52" s="133"/>
      <c r="I52" s="141"/>
      <c r="J52" s="125" t="str">
        <f>IF(OR(AND($S52=0,$R52&lt;&gt;2),AND($S52&lt;&gt;0,$R52=2)),リスト!$Y$3,IF(OR($W52&gt;0,$X52&gt;0),リスト!$Y$4,IF(AND($Q52=1,OR($R52=4,$R52=5)),リスト!$Y$5,IF($Y52&gt;0,リスト!$Y$6,IF($Z52&gt;0,リスト!$Y$7,"")))))</f>
        <v/>
      </c>
      <c r="K52" s="126" t="str">
        <f>IF($N52&lt;&gt;"",COUNTIF(エントリー!$R$8:$R$87,$M52),"")</f>
        <v/>
      </c>
      <c r="M52" s="44">
        <f t="shared" si="30"/>
        <v>45</v>
      </c>
      <c r="N52" s="44" t="str">
        <f t="shared" si="6"/>
        <v/>
      </c>
      <c r="O52" s="44" t="str">
        <f t="shared" si="7"/>
        <v/>
      </c>
      <c r="P52" s="44">
        <f t="shared" si="8"/>
        <v>45</v>
      </c>
      <c r="Q52" s="44" t="str">
        <f>IFERROR(VLOOKUP(F52,リスト!$N$2:$O$3,2,FALSE),"")</f>
        <v/>
      </c>
      <c r="R52" s="44" t="str">
        <f>IFERROR(VLOOKUP(G52,リスト!$B$2:$C$7,2,FALSE),"")</f>
        <v/>
      </c>
      <c r="S52" s="44" t="str">
        <f>IFERROR(VLOOKUP(H52,リスト!$F$10:$H$51,2,FALSE),"")</f>
        <v/>
      </c>
      <c r="T52" s="44" t="str">
        <f>IFERROR(VLOOKUP(H52,リスト!$F$10:$H$51,3,FALSE),"")</f>
        <v/>
      </c>
      <c r="U52" s="44" t="str">
        <f t="shared" si="9"/>
        <v/>
      </c>
      <c r="V52" s="44" t="str">
        <f t="shared" si="10"/>
        <v/>
      </c>
      <c r="W52" s="44">
        <f t="shared" si="11"/>
        <v>0</v>
      </c>
      <c r="X52" s="44">
        <f t="shared" si="12"/>
        <v>0</v>
      </c>
      <c r="Y52" s="44">
        <f t="shared" si="13"/>
        <v>0</v>
      </c>
      <c r="Z52" s="44">
        <f t="shared" si="14"/>
        <v>0</v>
      </c>
      <c r="AB52" s="44" t="str">
        <f t="shared" ca="1" si="15"/>
        <v/>
      </c>
      <c r="AC52" s="44" t="str">
        <f t="shared" ca="1" si="16"/>
        <v/>
      </c>
      <c r="AD52" s="44" t="str">
        <f t="shared" ca="1" si="17"/>
        <v/>
      </c>
      <c r="AE52" s="44" t="str">
        <f t="shared" ca="1" si="18"/>
        <v/>
      </c>
      <c r="AF52" s="44" t="str">
        <f t="shared" ca="1" si="19"/>
        <v/>
      </c>
      <c r="AG52" s="44" t="str">
        <f t="shared" ca="1" si="20"/>
        <v/>
      </c>
      <c r="AH52" s="44" t="str">
        <f t="shared" ca="1" si="21"/>
        <v/>
      </c>
      <c r="AI52" s="44" t="str">
        <f t="shared" ca="1" si="22"/>
        <v/>
      </c>
      <c r="AJ52" s="44"/>
      <c r="AK52" s="44"/>
      <c r="AL52" s="44"/>
      <c r="AM52" s="44" t="str">
        <f t="shared" ca="1" si="23"/>
        <v/>
      </c>
      <c r="AN52" s="44" t="str">
        <f t="shared" ca="1" si="24"/>
        <v/>
      </c>
      <c r="AP52" s="44">
        <f t="shared" si="25"/>
        <v>0</v>
      </c>
      <c r="AQ52" s="44">
        <f t="shared" si="26"/>
        <v>45</v>
      </c>
      <c r="AR52" s="44" t="str">
        <f t="shared" ca="1" si="27"/>
        <v/>
      </c>
      <c r="AS52" s="44" t="str">
        <f t="shared" si="28"/>
        <v/>
      </c>
      <c r="AT52" s="44" t="str">
        <f t="shared" si="5"/>
        <v/>
      </c>
      <c r="AU52" s="44" t="str">
        <f t="shared" ca="1" si="29"/>
        <v/>
      </c>
    </row>
    <row r="53" spans="1:47" ht="21.95" customHeight="1" x14ac:dyDescent="0.4">
      <c r="A53" s="167">
        <v>46</v>
      </c>
      <c r="B53" s="133"/>
      <c r="C53" s="133"/>
      <c r="D53" s="133"/>
      <c r="E53" s="133"/>
      <c r="F53" s="58"/>
      <c r="G53" s="57"/>
      <c r="H53" s="133"/>
      <c r="I53" s="141"/>
      <c r="J53" s="125" t="str">
        <f>IF(OR(AND($S53=0,$R53&lt;&gt;2),AND($S53&lt;&gt;0,$R53=2)),リスト!$Y$3,IF(OR($W53&gt;0,$X53&gt;0),リスト!$Y$4,IF(AND($Q53=1,OR($R53=4,$R53=5)),リスト!$Y$5,IF($Y53&gt;0,リスト!$Y$6,IF($Z53&gt;0,リスト!$Y$7,"")))))</f>
        <v/>
      </c>
      <c r="K53" s="126" t="str">
        <f>IF($N53&lt;&gt;"",COUNTIF(エントリー!$R$8:$R$87,$M53),"")</f>
        <v/>
      </c>
      <c r="M53" s="44">
        <f t="shared" si="30"/>
        <v>46</v>
      </c>
      <c r="N53" s="44" t="str">
        <f t="shared" si="6"/>
        <v/>
      </c>
      <c r="O53" s="44" t="str">
        <f t="shared" si="7"/>
        <v/>
      </c>
      <c r="P53" s="44">
        <f t="shared" si="8"/>
        <v>46</v>
      </c>
      <c r="Q53" s="44" t="str">
        <f>IFERROR(VLOOKUP(F53,リスト!$N$2:$O$3,2,FALSE),"")</f>
        <v/>
      </c>
      <c r="R53" s="44" t="str">
        <f>IFERROR(VLOOKUP(G53,リスト!$B$2:$C$7,2,FALSE),"")</f>
        <v/>
      </c>
      <c r="S53" s="44" t="str">
        <f>IFERROR(VLOOKUP(H53,リスト!$F$10:$H$51,2,FALSE),"")</f>
        <v/>
      </c>
      <c r="T53" s="44" t="str">
        <f>IFERROR(VLOOKUP(H53,リスト!$F$10:$H$51,3,FALSE),"")</f>
        <v/>
      </c>
      <c r="U53" s="44" t="str">
        <f t="shared" si="9"/>
        <v/>
      </c>
      <c r="V53" s="44" t="str">
        <f t="shared" si="10"/>
        <v/>
      </c>
      <c r="W53" s="44">
        <f t="shared" si="11"/>
        <v>0</v>
      </c>
      <c r="X53" s="44">
        <f t="shared" si="12"/>
        <v>0</v>
      </c>
      <c r="Y53" s="44">
        <f t="shared" si="13"/>
        <v>0</v>
      </c>
      <c r="Z53" s="44">
        <f t="shared" si="14"/>
        <v>0</v>
      </c>
      <c r="AB53" s="44" t="str">
        <f t="shared" ca="1" si="15"/>
        <v/>
      </c>
      <c r="AC53" s="44" t="str">
        <f t="shared" ca="1" si="16"/>
        <v/>
      </c>
      <c r="AD53" s="44" t="str">
        <f t="shared" ca="1" si="17"/>
        <v/>
      </c>
      <c r="AE53" s="44" t="str">
        <f t="shared" ca="1" si="18"/>
        <v/>
      </c>
      <c r="AF53" s="44" t="str">
        <f t="shared" ca="1" si="19"/>
        <v/>
      </c>
      <c r="AG53" s="44" t="str">
        <f t="shared" ca="1" si="20"/>
        <v/>
      </c>
      <c r="AH53" s="44" t="str">
        <f t="shared" ca="1" si="21"/>
        <v/>
      </c>
      <c r="AI53" s="44" t="str">
        <f t="shared" ca="1" si="22"/>
        <v/>
      </c>
      <c r="AJ53" s="44"/>
      <c r="AK53" s="44"/>
      <c r="AL53" s="44"/>
      <c r="AM53" s="44" t="str">
        <f t="shared" ca="1" si="23"/>
        <v/>
      </c>
      <c r="AN53" s="44" t="str">
        <f t="shared" ca="1" si="24"/>
        <v/>
      </c>
      <c r="AP53" s="44">
        <f t="shared" si="25"/>
        <v>0</v>
      </c>
      <c r="AQ53" s="44">
        <f t="shared" si="26"/>
        <v>46</v>
      </c>
      <c r="AR53" s="44" t="str">
        <f t="shared" ca="1" si="27"/>
        <v/>
      </c>
      <c r="AS53" s="44" t="str">
        <f t="shared" si="28"/>
        <v/>
      </c>
      <c r="AT53" s="44" t="str">
        <f t="shared" si="5"/>
        <v/>
      </c>
      <c r="AU53" s="44" t="str">
        <f t="shared" ca="1" si="29"/>
        <v/>
      </c>
    </row>
    <row r="54" spans="1:47" ht="21.95" customHeight="1" x14ac:dyDescent="0.4">
      <c r="A54" s="167">
        <v>47</v>
      </c>
      <c r="B54" s="133"/>
      <c r="C54" s="133"/>
      <c r="D54" s="133"/>
      <c r="E54" s="133"/>
      <c r="F54" s="58"/>
      <c r="G54" s="57"/>
      <c r="H54" s="133"/>
      <c r="I54" s="141"/>
      <c r="J54" s="125" t="str">
        <f>IF(OR(AND($S54=0,$R54&lt;&gt;2),AND($S54&lt;&gt;0,$R54=2)),リスト!$Y$3,IF(OR($W54&gt;0,$X54&gt;0),リスト!$Y$4,IF(AND($Q54=1,OR($R54=4,$R54=5)),リスト!$Y$5,IF($Y54&gt;0,リスト!$Y$6,IF($Z54&gt;0,リスト!$Y$7,"")))))</f>
        <v/>
      </c>
      <c r="K54" s="126" t="str">
        <f>IF($N54&lt;&gt;"",COUNTIF(エントリー!$R$8:$R$87,$M54),"")</f>
        <v/>
      </c>
      <c r="M54" s="44">
        <f t="shared" si="30"/>
        <v>47</v>
      </c>
      <c r="N54" s="44" t="str">
        <f t="shared" si="6"/>
        <v/>
      </c>
      <c r="O54" s="44" t="str">
        <f t="shared" si="7"/>
        <v/>
      </c>
      <c r="P54" s="44">
        <f t="shared" si="8"/>
        <v>47</v>
      </c>
      <c r="Q54" s="44" t="str">
        <f>IFERROR(VLOOKUP(F54,リスト!$N$2:$O$3,2,FALSE),"")</f>
        <v/>
      </c>
      <c r="R54" s="44" t="str">
        <f>IFERROR(VLOOKUP(G54,リスト!$B$2:$C$7,2,FALSE),"")</f>
        <v/>
      </c>
      <c r="S54" s="44" t="str">
        <f>IFERROR(VLOOKUP(H54,リスト!$F$10:$H$51,2,FALSE),"")</f>
        <v/>
      </c>
      <c r="T54" s="44" t="str">
        <f>IFERROR(VLOOKUP(H54,リスト!$F$10:$H$51,3,FALSE),"")</f>
        <v/>
      </c>
      <c r="U54" s="44" t="str">
        <f t="shared" si="9"/>
        <v/>
      </c>
      <c r="V54" s="44" t="str">
        <f t="shared" si="10"/>
        <v/>
      </c>
      <c r="W54" s="44">
        <f t="shared" si="11"/>
        <v>0</v>
      </c>
      <c r="X54" s="44">
        <f t="shared" si="12"/>
        <v>0</v>
      </c>
      <c r="Y54" s="44">
        <f t="shared" si="13"/>
        <v>0</v>
      </c>
      <c r="Z54" s="44">
        <f t="shared" si="14"/>
        <v>0</v>
      </c>
      <c r="AB54" s="44" t="str">
        <f t="shared" ca="1" si="15"/>
        <v/>
      </c>
      <c r="AC54" s="44" t="str">
        <f t="shared" ca="1" si="16"/>
        <v/>
      </c>
      <c r="AD54" s="44" t="str">
        <f t="shared" ca="1" si="17"/>
        <v/>
      </c>
      <c r="AE54" s="44" t="str">
        <f t="shared" ca="1" si="18"/>
        <v/>
      </c>
      <c r="AF54" s="44" t="str">
        <f t="shared" ca="1" si="19"/>
        <v/>
      </c>
      <c r="AG54" s="44" t="str">
        <f t="shared" ca="1" si="20"/>
        <v/>
      </c>
      <c r="AH54" s="44" t="str">
        <f t="shared" ca="1" si="21"/>
        <v/>
      </c>
      <c r="AI54" s="44" t="str">
        <f t="shared" ca="1" si="22"/>
        <v/>
      </c>
      <c r="AJ54" s="44"/>
      <c r="AK54" s="44"/>
      <c r="AL54" s="44"/>
      <c r="AM54" s="44" t="str">
        <f t="shared" ca="1" si="23"/>
        <v/>
      </c>
      <c r="AN54" s="44" t="str">
        <f t="shared" ca="1" si="24"/>
        <v/>
      </c>
      <c r="AP54" s="44">
        <f t="shared" si="25"/>
        <v>0</v>
      </c>
      <c r="AQ54" s="44">
        <f t="shared" si="26"/>
        <v>47</v>
      </c>
      <c r="AR54" s="44" t="str">
        <f t="shared" ca="1" si="27"/>
        <v/>
      </c>
      <c r="AS54" s="44" t="str">
        <f t="shared" si="28"/>
        <v/>
      </c>
      <c r="AT54" s="44" t="str">
        <f t="shared" si="5"/>
        <v/>
      </c>
      <c r="AU54" s="44" t="str">
        <f t="shared" ca="1" si="29"/>
        <v/>
      </c>
    </row>
    <row r="55" spans="1:47" ht="21.95" customHeight="1" x14ac:dyDescent="0.4">
      <c r="A55" s="167">
        <v>48</v>
      </c>
      <c r="B55" s="133"/>
      <c r="C55" s="133"/>
      <c r="D55" s="133"/>
      <c r="E55" s="133"/>
      <c r="F55" s="58"/>
      <c r="G55" s="57"/>
      <c r="H55" s="133"/>
      <c r="I55" s="141"/>
      <c r="J55" s="125" t="str">
        <f>IF(OR(AND($S55=0,$R55&lt;&gt;2),AND($S55&lt;&gt;0,$R55=2)),リスト!$Y$3,IF(OR($W55&gt;0,$X55&gt;0),リスト!$Y$4,IF(AND($Q55=1,OR($R55=4,$R55=5)),リスト!$Y$5,IF($Y55&gt;0,リスト!$Y$6,IF($Z55&gt;0,リスト!$Y$7,"")))))</f>
        <v/>
      </c>
      <c r="K55" s="126" t="str">
        <f>IF($N55&lt;&gt;"",COUNTIF(エントリー!$R$8:$R$87,$M55),"")</f>
        <v/>
      </c>
      <c r="M55" s="44">
        <f t="shared" si="30"/>
        <v>48</v>
      </c>
      <c r="N55" s="44" t="str">
        <f t="shared" si="6"/>
        <v/>
      </c>
      <c r="O55" s="44" t="str">
        <f t="shared" si="7"/>
        <v/>
      </c>
      <c r="P55" s="44">
        <f t="shared" si="8"/>
        <v>48</v>
      </c>
      <c r="Q55" s="44" t="str">
        <f>IFERROR(VLOOKUP(F55,リスト!$N$2:$O$3,2,FALSE),"")</f>
        <v/>
      </c>
      <c r="R55" s="44" t="str">
        <f>IFERROR(VLOOKUP(G55,リスト!$B$2:$C$7,2,FALSE),"")</f>
        <v/>
      </c>
      <c r="S55" s="44" t="str">
        <f>IFERROR(VLOOKUP(H55,リスト!$F$10:$H$51,2,FALSE),"")</f>
        <v/>
      </c>
      <c r="T55" s="44" t="str">
        <f>IFERROR(VLOOKUP(H55,リスト!$F$10:$H$51,3,FALSE),"")</f>
        <v/>
      </c>
      <c r="U55" s="44" t="str">
        <f t="shared" si="9"/>
        <v/>
      </c>
      <c r="V55" s="44" t="str">
        <f t="shared" si="10"/>
        <v/>
      </c>
      <c r="W55" s="44">
        <f t="shared" si="11"/>
        <v>0</v>
      </c>
      <c r="X55" s="44">
        <f t="shared" si="12"/>
        <v>0</v>
      </c>
      <c r="Y55" s="44">
        <f t="shared" si="13"/>
        <v>0</v>
      </c>
      <c r="Z55" s="44">
        <f t="shared" si="14"/>
        <v>0</v>
      </c>
      <c r="AB55" s="44" t="str">
        <f t="shared" ca="1" si="15"/>
        <v/>
      </c>
      <c r="AC55" s="44" t="str">
        <f t="shared" ca="1" si="16"/>
        <v/>
      </c>
      <c r="AD55" s="44" t="str">
        <f t="shared" ca="1" si="17"/>
        <v/>
      </c>
      <c r="AE55" s="44" t="str">
        <f t="shared" ca="1" si="18"/>
        <v/>
      </c>
      <c r="AF55" s="44" t="str">
        <f t="shared" ca="1" si="19"/>
        <v/>
      </c>
      <c r="AG55" s="44" t="str">
        <f t="shared" ca="1" si="20"/>
        <v/>
      </c>
      <c r="AH55" s="44" t="str">
        <f t="shared" ca="1" si="21"/>
        <v/>
      </c>
      <c r="AI55" s="44" t="str">
        <f t="shared" ca="1" si="22"/>
        <v/>
      </c>
      <c r="AJ55" s="44"/>
      <c r="AK55" s="44"/>
      <c r="AL55" s="44"/>
      <c r="AM55" s="44" t="str">
        <f t="shared" ca="1" si="23"/>
        <v/>
      </c>
      <c r="AN55" s="44" t="str">
        <f t="shared" ca="1" si="24"/>
        <v/>
      </c>
      <c r="AP55" s="44">
        <f t="shared" si="25"/>
        <v>0</v>
      </c>
      <c r="AQ55" s="44">
        <f t="shared" si="26"/>
        <v>48</v>
      </c>
      <c r="AR55" s="44" t="str">
        <f t="shared" ca="1" si="27"/>
        <v/>
      </c>
      <c r="AS55" s="44" t="str">
        <f t="shared" si="28"/>
        <v/>
      </c>
      <c r="AT55" s="44" t="str">
        <f t="shared" si="5"/>
        <v/>
      </c>
      <c r="AU55" s="44" t="str">
        <f t="shared" ca="1" si="29"/>
        <v/>
      </c>
    </row>
    <row r="56" spans="1:47" ht="21.95" customHeight="1" x14ac:dyDescent="0.4">
      <c r="A56" s="167">
        <v>49</v>
      </c>
      <c r="B56" s="133"/>
      <c r="C56" s="133"/>
      <c r="D56" s="133"/>
      <c r="E56" s="133"/>
      <c r="F56" s="58"/>
      <c r="G56" s="57"/>
      <c r="H56" s="133"/>
      <c r="I56" s="141"/>
      <c r="J56" s="125" t="str">
        <f>IF(OR(AND($S56=0,$R56&lt;&gt;2),AND($S56&lt;&gt;0,$R56=2)),リスト!$Y$3,IF(OR($W56&gt;0,$X56&gt;0),リスト!$Y$4,IF(AND($Q56=1,OR($R56=4,$R56=5)),リスト!$Y$5,IF($Y56&gt;0,リスト!$Y$6,IF($Z56&gt;0,リスト!$Y$7,"")))))</f>
        <v/>
      </c>
      <c r="K56" s="126" t="str">
        <f>IF($N56&lt;&gt;"",COUNTIF(エントリー!$R$8:$R$87,$M56),"")</f>
        <v/>
      </c>
      <c r="M56" s="44">
        <f t="shared" si="30"/>
        <v>49</v>
      </c>
      <c r="N56" s="44" t="str">
        <f t="shared" si="6"/>
        <v/>
      </c>
      <c r="O56" s="44" t="str">
        <f t="shared" si="7"/>
        <v/>
      </c>
      <c r="P56" s="44">
        <f t="shared" si="8"/>
        <v>49</v>
      </c>
      <c r="Q56" s="44" t="str">
        <f>IFERROR(VLOOKUP(F56,リスト!$N$2:$O$3,2,FALSE),"")</f>
        <v/>
      </c>
      <c r="R56" s="44" t="str">
        <f>IFERROR(VLOOKUP(G56,リスト!$B$2:$C$7,2,FALSE),"")</f>
        <v/>
      </c>
      <c r="S56" s="44" t="str">
        <f>IFERROR(VLOOKUP(H56,リスト!$F$10:$H$51,2,FALSE),"")</f>
        <v/>
      </c>
      <c r="T56" s="44" t="str">
        <f>IFERROR(VLOOKUP(H56,リスト!$F$10:$H$51,3,FALSE),"")</f>
        <v/>
      </c>
      <c r="U56" s="44" t="str">
        <f t="shared" si="9"/>
        <v/>
      </c>
      <c r="V56" s="44" t="str">
        <f t="shared" si="10"/>
        <v/>
      </c>
      <c r="W56" s="44">
        <f t="shared" si="11"/>
        <v>0</v>
      </c>
      <c r="X56" s="44">
        <f t="shared" si="12"/>
        <v>0</v>
      </c>
      <c r="Y56" s="44">
        <f t="shared" si="13"/>
        <v>0</v>
      </c>
      <c r="Z56" s="44">
        <f t="shared" si="14"/>
        <v>0</v>
      </c>
      <c r="AB56" s="44" t="str">
        <f t="shared" ca="1" si="15"/>
        <v/>
      </c>
      <c r="AC56" s="44" t="str">
        <f t="shared" ca="1" si="16"/>
        <v/>
      </c>
      <c r="AD56" s="44" t="str">
        <f t="shared" ca="1" si="17"/>
        <v/>
      </c>
      <c r="AE56" s="44" t="str">
        <f t="shared" ca="1" si="18"/>
        <v/>
      </c>
      <c r="AF56" s="44" t="str">
        <f t="shared" ca="1" si="19"/>
        <v/>
      </c>
      <c r="AG56" s="44" t="str">
        <f t="shared" ca="1" si="20"/>
        <v/>
      </c>
      <c r="AH56" s="44" t="str">
        <f t="shared" ca="1" si="21"/>
        <v/>
      </c>
      <c r="AI56" s="44" t="str">
        <f t="shared" ca="1" si="22"/>
        <v/>
      </c>
      <c r="AJ56" s="44"/>
      <c r="AK56" s="44"/>
      <c r="AL56" s="44"/>
      <c r="AM56" s="44" t="str">
        <f t="shared" ca="1" si="23"/>
        <v/>
      </c>
      <c r="AN56" s="44" t="str">
        <f t="shared" ca="1" si="24"/>
        <v/>
      </c>
      <c r="AP56" s="44">
        <f t="shared" si="25"/>
        <v>0</v>
      </c>
      <c r="AQ56" s="44">
        <f t="shared" si="26"/>
        <v>49</v>
      </c>
      <c r="AR56" s="44" t="str">
        <f t="shared" ca="1" si="27"/>
        <v/>
      </c>
      <c r="AS56" s="44" t="str">
        <f t="shared" si="28"/>
        <v/>
      </c>
      <c r="AT56" s="44" t="str">
        <f t="shared" si="5"/>
        <v/>
      </c>
      <c r="AU56" s="44" t="str">
        <f t="shared" ca="1" si="29"/>
        <v/>
      </c>
    </row>
    <row r="57" spans="1:47" ht="21.95" customHeight="1" thickBot="1" x14ac:dyDescent="0.45">
      <c r="A57" s="123">
        <v>50</v>
      </c>
      <c r="B57" s="134"/>
      <c r="C57" s="134"/>
      <c r="D57" s="134"/>
      <c r="E57" s="134"/>
      <c r="F57" s="114"/>
      <c r="G57" s="113"/>
      <c r="H57" s="134"/>
      <c r="I57" s="142"/>
      <c r="J57" s="127" t="str">
        <f>IF(OR(AND($S57=0,$R57&lt;&gt;2),AND($S57&lt;&gt;0,$R57=2)),リスト!$Y$3,IF(OR($W57&gt;0,$X57&gt;0),リスト!$Y$4,IF(AND($Q57=1,OR($R57=4,$R57=5)),リスト!$Y$5,IF($Y57&gt;0,リスト!$Y$6,IF($Z57&gt;0,リスト!$Y$7,"")))))</f>
        <v/>
      </c>
      <c r="K57" s="128" t="str">
        <f>IF($N57&lt;&gt;"",COUNTIF(エントリー!$R$8:$R$87,$M57),"")</f>
        <v/>
      </c>
      <c r="M57" s="44">
        <f t="shared" si="30"/>
        <v>50</v>
      </c>
      <c r="N57" s="44" t="str">
        <f t="shared" si="6"/>
        <v/>
      </c>
      <c r="O57" s="44" t="str">
        <f t="shared" si="7"/>
        <v/>
      </c>
      <c r="P57" s="44">
        <f t="shared" si="8"/>
        <v>50</v>
      </c>
      <c r="Q57" s="44" t="str">
        <f>IFERROR(VLOOKUP(F57,リスト!$N$2:$O$3,2,FALSE),"")</f>
        <v/>
      </c>
      <c r="R57" s="44" t="str">
        <f>IFERROR(VLOOKUP(G57,リスト!$B$2:$C$7,2,FALSE),"")</f>
        <v/>
      </c>
      <c r="S57" s="44" t="str">
        <f>IFERROR(VLOOKUP(H57,リスト!$F$10:$H$51,2,FALSE),"")</f>
        <v/>
      </c>
      <c r="T57" s="44" t="str">
        <f>IFERROR(VLOOKUP(H57,リスト!$F$10:$H$51,3,FALSE),"")</f>
        <v/>
      </c>
      <c r="U57" s="44" t="str">
        <f t="shared" si="9"/>
        <v/>
      </c>
      <c r="V57" s="44" t="str">
        <f t="shared" si="10"/>
        <v/>
      </c>
      <c r="W57" s="44">
        <f t="shared" si="11"/>
        <v>0</v>
      </c>
      <c r="X57" s="44">
        <f t="shared" si="12"/>
        <v>0</v>
      </c>
      <c r="Y57" s="44">
        <f t="shared" si="13"/>
        <v>0</v>
      </c>
      <c r="Z57" s="44">
        <f t="shared" si="14"/>
        <v>0</v>
      </c>
      <c r="AB57" s="44" t="str">
        <f t="shared" ca="1" si="15"/>
        <v/>
      </c>
      <c r="AC57" s="44" t="str">
        <f t="shared" ca="1" si="16"/>
        <v/>
      </c>
      <c r="AD57" s="44" t="str">
        <f t="shared" ca="1" si="17"/>
        <v/>
      </c>
      <c r="AE57" s="44" t="str">
        <f t="shared" ca="1" si="18"/>
        <v/>
      </c>
      <c r="AF57" s="44" t="str">
        <f t="shared" ca="1" si="19"/>
        <v/>
      </c>
      <c r="AG57" s="44" t="str">
        <f t="shared" ca="1" si="20"/>
        <v/>
      </c>
      <c r="AH57" s="44" t="str">
        <f t="shared" ca="1" si="21"/>
        <v/>
      </c>
      <c r="AI57" s="44" t="str">
        <f t="shared" ca="1" si="22"/>
        <v/>
      </c>
      <c r="AJ57" s="44"/>
      <c r="AK57" s="44"/>
      <c r="AL57" s="44"/>
      <c r="AM57" s="44" t="str">
        <f t="shared" ca="1" si="23"/>
        <v/>
      </c>
      <c r="AN57" s="44" t="str">
        <f t="shared" ca="1" si="24"/>
        <v/>
      </c>
      <c r="AP57" s="44">
        <f t="shared" si="25"/>
        <v>0</v>
      </c>
      <c r="AQ57" s="44">
        <f t="shared" si="26"/>
        <v>50</v>
      </c>
      <c r="AR57" s="44" t="str">
        <f t="shared" ca="1" si="27"/>
        <v/>
      </c>
      <c r="AS57" s="44" t="str">
        <f t="shared" si="28"/>
        <v/>
      </c>
      <c r="AT57" s="44" t="str">
        <f t="shared" si="5"/>
        <v/>
      </c>
      <c r="AU57" s="44" t="str">
        <f t="shared" ca="1" si="29"/>
        <v/>
      </c>
    </row>
  </sheetData>
  <sheetProtection algorithmName="SHA-512" hashValue="Q6AjkGkeaqGKKCxwwm/noVhVz5Wmgu/9mPohqBxBhxCKPY4Swrr3hqya7pZPLCBSoavtI9kjab+2JWuui9n/Bw==" saltValue="zVB8wwTD8QroiWx9i1dTvg==" spinCount="100000" sheet="1" autoFilter="0"/>
  <mergeCells count="8">
    <mergeCell ref="I6:I7"/>
    <mergeCell ref="A6:A7"/>
    <mergeCell ref="A3:E3"/>
    <mergeCell ref="F6:F7"/>
    <mergeCell ref="B6:C6"/>
    <mergeCell ref="D6:E6"/>
    <mergeCell ref="G6:G7"/>
    <mergeCell ref="H6:H7"/>
  </mergeCells>
  <phoneticPr fontId="4"/>
  <printOptions horizontalCentered="1"/>
  <pageMargins left="0.98425196850393704" right="0.98425196850393704" top="0.39370078740157483" bottom="0.39370078740157483" header="0.31496062992125984" footer="0.11811023622047245"/>
  <pageSetup paperSize="9" scale="53" fitToHeight="0" orientation="landscape" horizontalDpi="1200" verticalDpi="1200" r:id="rId1"/>
  <rowBreaks count="1" manualBreakCount="1">
    <brk id="31" max="10"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リスト!$N$2:$N$3</xm:f>
          </x14:formula1>
          <xm:sqref>F8:F57</xm:sqref>
        </x14:dataValidation>
        <x14:dataValidation type="list" allowBlank="1" showInputMessage="1" showErrorMessage="1">
          <x14:formula1>
            <xm:f>リスト!$B$2:$B$7</xm:f>
          </x14:formula1>
          <xm:sqref>G8:G57</xm:sqref>
        </x14:dataValidation>
        <x14:dataValidation type="list" allowBlank="1" showInputMessage="1" showErrorMessage="1">
          <x14:formula1>
            <xm:f>リスト!$F$10:$F$51</xm:f>
          </x14:formula1>
          <xm:sqref>H8:H57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F0"/>
    <pageSetUpPr fitToPage="1"/>
  </sheetPr>
  <dimension ref="A1:AQ57"/>
  <sheetViews>
    <sheetView view="pageBreakPreview" zoomScaleNormal="100" zoomScaleSheetLayoutView="100" workbookViewId="0">
      <pane xSplit="1" ySplit="7" topLeftCell="B8" activePane="bottomRight" state="frozen"/>
      <selection pane="topRight" activeCell="B1" sqref="B1"/>
      <selection pane="bottomLeft" activeCell="A8" sqref="A8"/>
      <selection pane="bottomRight" activeCell="B8" sqref="B8"/>
    </sheetView>
  </sheetViews>
  <sheetFormatPr defaultRowHeight="18.75" x14ac:dyDescent="0.4"/>
  <cols>
    <col min="1" max="1" width="4.5" bestFit="1" customWidth="1"/>
    <col min="2" max="2" width="43.375" customWidth="1"/>
    <col min="3" max="3" width="46.25" customWidth="1"/>
    <col min="4" max="5" width="21.375" customWidth="1"/>
    <col min="6" max="6" width="26.5" customWidth="1"/>
    <col min="7" max="7" width="45.75" customWidth="1"/>
    <col min="8" max="8" width="8.625" bestFit="1" customWidth="1"/>
    <col min="9" max="9" width="11" bestFit="1" customWidth="1"/>
    <col min="10" max="10" width="11" customWidth="1"/>
    <col min="11" max="11" width="7.125" hidden="1" customWidth="1"/>
    <col min="12" max="13" width="9" hidden="1" customWidth="1"/>
    <col min="14" max="14" width="7.125" hidden="1" customWidth="1"/>
    <col min="15" max="16" width="9" hidden="1" customWidth="1"/>
    <col min="17" max="17" width="17.25" hidden="1" customWidth="1"/>
    <col min="18" max="18" width="15.125" hidden="1" customWidth="1"/>
    <col min="19" max="28" width="9" hidden="1" customWidth="1"/>
    <col min="29" max="29" width="21" hidden="1" customWidth="1"/>
    <col min="30" max="30" width="15.25" hidden="1" customWidth="1"/>
    <col min="31" max="32" width="9" hidden="1" customWidth="1"/>
    <col min="33" max="33" width="17.25" hidden="1" customWidth="1"/>
    <col min="34" max="34" width="15.125" hidden="1" customWidth="1"/>
    <col min="35" max="35" width="7.125" hidden="1" customWidth="1"/>
    <col min="36" max="39" width="9" hidden="1" customWidth="1"/>
    <col min="40" max="40" width="7.125" hidden="1" customWidth="1"/>
    <col min="41" max="41" width="19.125" hidden="1" customWidth="1"/>
    <col min="42" max="43" width="5.25" hidden="1" customWidth="1"/>
    <col min="44" max="44" width="0" hidden="1" customWidth="1"/>
  </cols>
  <sheetData>
    <row r="1" spans="1:43" ht="24" x14ac:dyDescent="0.5">
      <c r="A1" s="255" t="str">
        <f>お知らせ・記入要領!$A$1</f>
        <v>第44回 キャロットステークス 申込書</v>
      </c>
      <c r="B1" s="256"/>
      <c r="C1" s="256"/>
      <c r="D1" s="256"/>
      <c r="E1" s="256"/>
      <c r="F1" s="256"/>
      <c r="G1" s="117"/>
      <c r="H1" s="117"/>
      <c r="AO1" t="str">
        <f>ADDRESS(ROW($AO$8),COLUMN($AO$8),1,1,"馬匹登録") &amp;":"&amp;ADDRESS(ROW($AO$8)+$AP$6-1,COLUMN($AO$8)-1,1,1)</f>
        <v>馬匹登録!$AO$8:$AN$7</v>
      </c>
    </row>
    <row r="2" spans="1:43" ht="13.5" customHeight="1" x14ac:dyDescent="0.4">
      <c r="A2" s="257" t="s">
        <v>217</v>
      </c>
      <c r="B2" s="256"/>
      <c r="C2" s="256"/>
      <c r="D2" s="256"/>
      <c r="E2" s="256"/>
      <c r="F2" s="256"/>
      <c r="G2" s="204"/>
      <c r="H2" s="204"/>
      <c r="AO2" t="str">
        <f>ADDRESS(ROW($AN$8),COLUMN($AN$8),1,1,"馬匹登録") &amp;":"&amp;ADDRESS(ROW($AN$8)+$AP$6-1,COLUMN($AN$8)+2,1,1)</f>
        <v>馬匹登録!$AN$8:$AP$7</v>
      </c>
    </row>
    <row r="3" spans="1:43" ht="18.75" customHeight="1" x14ac:dyDescent="0.5">
      <c r="B3" s="246" t="s">
        <v>377</v>
      </c>
      <c r="E3" s="209"/>
      <c r="F3" s="344" t="str">
        <f>IF(_xlfn.CONCAT($G$8:$G$57)&lt;&gt;"","※ 右の確認メッセージ欄を確認して修正してください⤵","")</f>
        <v/>
      </c>
      <c r="I3" s="44" t="s">
        <v>236</v>
      </c>
      <c r="AB3" s="44" t="s">
        <v>216</v>
      </c>
      <c r="AC3" t="str">
        <f>ADDRESS(ROW(馬匹登録!$AC$7),COLUMN(馬匹登録!$AC$8),1,1,"馬匹登録") &amp;":"&amp;ADDRESS(ROW(馬匹登録!$AC$8)+馬匹登録!$AP$6,COLUMN(馬匹登録!$AC$8),1,1)</f>
        <v>馬匹登録!$AC$7:$AC$8</v>
      </c>
      <c r="AO3" t="str">
        <f>ADDRESS(ROW($AO$8),COLUMN($AO$8),1,1,"馬匹登録") &amp;":"&amp;ADDRESS(ROW($AO$8)+$AP$6-1,COLUMN($AO$8),1,1)</f>
        <v>馬匹登録!$AO$8:$AO$7</v>
      </c>
    </row>
    <row r="4" spans="1:43" ht="24" customHeight="1" x14ac:dyDescent="0.4">
      <c r="A4" s="501" t="str">
        <f>"団体名：" &amp; 団体登録!B7</f>
        <v>団体名：</v>
      </c>
      <c r="B4" s="501"/>
      <c r="C4" s="23" t="s">
        <v>150</v>
      </c>
      <c r="D4" s="169" t="str">
        <f>IF(団体登録!$J$3&lt;&gt;"",団体登録!$J$3,"")</f>
        <v/>
      </c>
      <c r="E4" s="119"/>
      <c r="F4" s="23"/>
      <c r="G4" s="119"/>
      <c r="I4" s="44" cm="1">
        <f t="array" ref="I4">SUMPRODUCT((B8:B57&lt;&gt;"")*1)</f>
        <v>0</v>
      </c>
      <c r="K4" t="s">
        <v>366</v>
      </c>
      <c r="AB4" t="s">
        <v>121</v>
      </c>
      <c r="AL4" t="s">
        <v>357</v>
      </c>
    </row>
    <row r="5" spans="1:43" ht="6" customHeight="1" thickBot="1" x14ac:dyDescent="0.45">
      <c r="A5" s="170"/>
      <c r="AL5" t="s">
        <v>365</v>
      </c>
    </row>
    <row r="6" spans="1:43" x14ac:dyDescent="0.4">
      <c r="A6" s="507" t="s">
        <v>24</v>
      </c>
      <c r="B6" s="506" t="s">
        <v>34</v>
      </c>
      <c r="C6" s="499" t="s">
        <v>368</v>
      </c>
      <c r="D6" s="502" t="s">
        <v>46</v>
      </c>
      <c r="E6" s="502" t="s">
        <v>1723</v>
      </c>
      <c r="F6" s="504" t="s">
        <v>1740</v>
      </c>
      <c r="G6" s="139" t="s">
        <v>148</v>
      </c>
      <c r="H6" s="121" t="s">
        <v>43</v>
      </c>
      <c r="K6" s="44"/>
      <c r="L6" s="44"/>
      <c r="M6" s="44"/>
      <c r="N6" s="44"/>
      <c r="O6" s="44"/>
      <c r="P6" s="44"/>
      <c r="Q6" s="44"/>
      <c r="R6" s="44"/>
      <c r="S6" s="335" t="s">
        <v>338</v>
      </c>
      <c r="T6" s="341"/>
      <c r="U6" s="341"/>
      <c r="V6" s="341"/>
      <c r="W6" s="341"/>
      <c r="X6" s="342"/>
      <c r="AB6" s="44" t="s">
        <v>24</v>
      </c>
      <c r="AC6" s="44" t="s">
        <v>34</v>
      </c>
      <c r="AD6" s="44" t="s">
        <v>123</v>
      </c>
      <c r="AE6" s="44" t="s">
        <v>119</v>
      </c>
      <c r="AF6" s="44" t="s">
        <v>1724</v>
      </c>
      <c r="AG6" s="44" t="s">
        <v>439</v>
      </c>
      <c r="AH6" s="335" t="s">
        <v>1713</v>
      </c>
      <c r="AI6" s="44" t="s">
        <v>338</v>
      </c>
      <c r="AL6" s="44" t="s">
        <v>362</v>
      </c>
      <c r="AM6" s="44"/>
      <c r="AN6" s="44" t="s">
        <v>357</v>
      </c>
      <c r="AO6" s="44"/>
      <c r="AP6" s="122" cm="1">
        <f t="array" ref="AP6">SUMPRODUCT(($AP$8:$AP$57&lt;&gt;"")*1)</f>
        <v>0</v>
      </c>
      <c r="AQ6" s="44"/>
    </row>
    <row r="7" spans="1:43" ht="38.25" thickBot="1" x14ac:dyDescent="0.45">
      <c r="A7" s="494"/>
      <c r="B7" s="500"/>
      <c r="C7" s="500"/>
      <c r="D7" s="503"/>
      <c r="E7" s="503"/>
      <c r="F7" s="505"/>
      <c r="G7" s="171" t="s">
        <v>1732</v>
      </c>
      <c r="H7" s="124"/>
      <c r="K7" s="44" t="s">
        <v>117</v>
      </c>
      <c r="L7" s="44" t="s">
        <v>122</v>
      </c>
      <c r="M7" s="44" t="s">
        <v>123</v>
      </c>
      <c r="N7" s="44" t="s">
        <v>24</v>
      </c>
      <c r="O7" s="44" t="s">
        <v>119</v>
      </c>
      <c r="P7" s="44" t="s">
        <v>1724</v>
      </c>
      <c r="Q7" s="44" t="s">
        <v>439</v>
      </c>
      <c r="R7" s="44" t="s">
        <v>1713</v>
      </c>
      <c r="S7" s="44" t="s">
        <v>327</v>
      </c>
      <c r="T7" s="44" t="s">
        <v>356</v>
      </c>
      <c r="U7" s="44" t="s">
        <v>342</v>
      </c>
      <c r="V7" s="149" t="s">
        <v>437</v>
      </c>
      <c r="W7" s="149" t="s">
        <v>1721</v>
      </c>
      <c r="X7" s="149" t="s">
        <v>438</v>
      </c>
      <c r="Y7" s="136"/>
      <c r="Z7" s="136"/>
      <c r="AA7" s="331" t="s">
        <v>1725</v>
      </c>
      <c r="AB7" s="44"/>
      <c r="AC7" s="44"/>
      <c r="AD7" s="44"/>
      <c r="AE7" s="44"/>
      <c r="AI7" s="44"/>
      <c r="AL7" s="44">
        <v>0</v>
      </c>
      <c r="AM7" s="44"/>
      <c r="AN7" s="44" t="s">
        <v>358</v>
      </c>
      <c r="AO7" s="44" t="s">
        <v>359</v>
      </c>
      <c r="AP7" s="44" t="s">
        <v>363</v>
      </c>
      <c r="AQ7" s="44" t="s">
        <v>364</v>
      </c>
    </row>
    <row r="8" spans="1:43" ht="21.95" customHeight="1" x14ac:dyDescent="0.4">
      <c r="A8" s="172">
        <v>1</v>
      </c>
      <c r="B8" s="135"/>
      <c r="C8" s="135"/>
      <c r="D8" s="313"/>
      <c r="E8" s="328"/>
      <c r="F8" s="314"/>
      <c r="G8" s="173" t="str">
        <f>IF(AND($B8&lt;&gt;"",$C8=""),リスト!$Y$12,IF($U8&gt;0,リスト!$Y$11,IF(OR($S8&gt;0,$T8&gt;0),リスト!$Y$10,IF($V8&gt;0,リスト!$Y$13,IF($W8&gt;0,リスト!$Y$14,IF($X8&gt;0,リスト!$Y$15,""))))))</f>
        <v/>
      </c>
      <c r="H8" s="174" t="str">
        <f>IF($L8&lt;&gt;"",COUNTIF(エントリー!$V$8:$V$87,$K8),"")</f>
        <v/>
      </c>
      <c r="K8" s="44">
        <f t="shared" ref="K8:K39" si="0">A8</f>
        <v>1</v>
      </c>
      <c r="L8" s="44" t="str">
        <f>IF($B8&lt;&gt;"",SUBSTITUTE(SUBSTITUTE($B8,"　","")," ",""),"")</f>
        <v/>
      </c>
      <c r="M8" s="44" t="str">
        <f>IF($C8&lt;&gt;"",SUBSTITUTE(SUBSTITUTE($C8,"　","")," ",""),IF($L8&lt;&gt;"",SUBSTITUTE(SUBSTITUTE($L8,"　","")," ",""),""))</f>
        <v/>
      </c>
      <c r="N8" s="44">
        <f>$K8</f>
        <v>1</v>
      </c>
      <c r="O8" s="44" t="str">
        <f>IF($D8&lt;&gt;"",SUBSTITUTE(SUBSTITUTE(ASC($D8),"　","")," ",""),"")</f>
        <v/>
      </c>
      <c r="P8" s="44" t="str">
        <f>IF($E8&lt;&gt;"",SUBSTITUTE(SUBSTITUTE($E8,"　","")," ",""),"")</f>
        <v/>
      </c>
      <c r="Q8" s="44" t="str">
        <f>IF($F8&lt;&gt;"",SUBSTITUTE(SUBSTITUTE(ASC($F8),"　","")," ",""),"")</f>
        <v/>
      </c>
      <c r="R8" s="44" t="str">
        <f>IF($Q8&lt;&gt;"",IFERROR(VLOOKUP(LEFT($Q8,3),'ISO3166-1'!$A$2:$B$250,2,FALSE),"不明("&amp;LEFT($Q8,3)&amp;")"),"")</f>
        <v/>
      </c>
      <c r="S8" s="44">
        <f>IF($L8&lt;&gt;"",IFERROR(IF(COUNTIF($L$8:$L$57,$L8)&gt;1,1,0),1),0)</f>
        <v>0</v>
      </c>
      <c r="T8" s="44">
        <f>IF($M8&lt;&gt;"",IFERROR(IF(COUNTIF($M$8:$M$57,$M8)&gt;1,1,0),1),0)</f>
        <v>0</v>
      </c>
      <c r="U8" s="44">
        <f>IF($O8&lt;&gt;"",IFERROR(IF(COUNTIF($O$8:$O$57,$O8)&gt;1,1,0),1),0)</f>
        <v>0</v>
      </c>
      <c r="V8" s="44">
        <f>IF($O8&lt;&gt;"",IFERROR(IF(OR(LEN($O8)&lt;&gt;5,ISERROR(VALUE($O8))),1,0),1),0)</f>
        <v>0</v>
      </c>
      <c r="W8" s="44">
        <f>IF($Q8&lt;&gt;"",IFERROR(IF(COUNTIF($Q$8:$Q$57,$Q8)&gt;1,1,0),1),0)</f>
        <v>0</v>
      </c>
      <c r="X8" s="44">
        <f>IF($Q8&lt;&gt;"",IFERROR(IF(OR(LEN($Q8)&lt;&gt;15,ISERROR(VALUE($Q8))),1,0),1),0)</f>
        <v>0</v>
      </c>
      <c r="AA8" s="44" t="str">
        <f ca="1">IF($AB8&lt;&gt;"",VLOOKUP($AB8,$K$8:$R$57,2)&amp;IF($AF8&lt;&gt;""," ("&amp;$AF8&amp;")",""),"")</f>
        <v/>
      </c>
      <c r="AB8" s="44" t="str">
        <f ca="1">$AQ8</f>
        <v/>
      </c>
      <c r="AC8" s="44" t="str">
        <f ca="1">IF($AB8&lt;&gt;"",VLOOKUP($AB8,$K$8:$R$57,2),"")</f>
        <v/>
      </c>
      <c r="AD8" s="44" t="str">
        <f ca="1">IF($AB8&lt;&gt;"",VLOOKUP($AB8,$K$8:$R$57,3),"")</f>
        <v/>
      </c>
      <c r="AE8" s="44" t="str">
        <f ca="1">IF($AB8&lt;&gt;"",VLOOKUP($AB8,$K$8:$R$57,5),"")</f>
        <v/>
      </c>
      <c r="AF8" s="44" t="str">
        <f ca="1">IF($AB8&lt;&gt;"",IF(VLOOKUP($AB8,$K$8:$R$57,6)&lt;&gt;"",VLOOKUP($AB8,$K$8:$R$57,6),""),"")</f>
        <v/>
      </c>
      <c r="AG8" s="44" t="str">
        <f ca="1">IF($AB8&lt;&gt;"",VLOOKUP($AB8,$K$8:$R$57,7),"")</f>
        <v/>
      </c>
      <c r="AH8" s="335" t="str">
        <f ca="1">IF($AB8&lt;&gt;"",VLOOKUP($AB8,$K$8:$R$57,8),"")</f>
        <v/>
      </c>
      <c r="AI8" s="44" t="str">
        <f ca="1">IF($AB8&lt;&gt;"",SUM(INDIRECT(ADDRESS(ROW($AB$7)+MATCH($AB8,$K$8:$K$107,0),COLUMN($S$8),1,1)&amp;":"&amp;ADDRESS(ROW($AB$7)+MATCH($AB8,$K$8:$K$107,0),COLUMN($X$8),1,1))),"")</f>
        <v/>
      </c>
      <c r="AL8" s="44">
        <f t="shared" ref="AL8" si="1">IF(L8&lt;&gt;"",AL7+1,AL7)</f>
        <v>0</v>
      </c>
      <c r="AM8" s="44">
        <f t="shared" ref="AM8" si="2">K8</f>
        <v>1</v>
      </c>
      <c r="AN8" s="44" t="str">
        <f ca="1">IF(AP8&lt;&gt;"",COUNTIF(INDIRECT($AO$3),"&lt;"&amp;AO8)+1,"")</f>
        <v/>
      </c>
      <c r="AO8" s="44" t="str">
        <f t="shared" ref="AO8" si="3">IF(AP8&lt;&gt;"",VLOOKUP($AP8,$K$8:$M$58,3)&amp;TEXT(AP8,"-000"),"")</f>
        <v/>
      </c>
      <c r="AP8" s="44" t="str">
        <f>IFERROR(VLOOKUP(ROW(AP8)-ROW($AP$8)+1,$AL$8:$AM$57,2,FALSE),"")</f>
        <v/>
      </c>
      <c r="AQ8" s="44" t="str">
        <f t="shared" ref="AQ8" ca="1" si="4">IF(AP8&lt;&gt;"",VLOOKUP(SMALL(INDIRECT($AO$1),ROW(A1)),INDIRECT($AO$2),3,FALSE),"")</f>
        <v/>
      </c>
    </row>
    <row r="9" spans="1:43" ht="21.95" customHeight="1" x14ac:dyDescent="0.4">
      <c r="A9" s="167">
        <v>2</v>
      </c>
      <c r="B9" s="133"/>
      <c r="C9" s="133"/>
      <c r="D9" s="315"/>
      <c r="E9" s="329"/>
      <c r="F9" s="316"/>
      <c r="G9" s="175" t="str">
        <f>IF(AND($B9&lt;&gt;"",$C9=""),リスト!$Y$12,IF($U9&gt;0,リスト!$Y$11,IF(OR($S9&gt;0,$T9&gt;0),リスト!$Y$10,IF($V9&gt;0,リスト!$Y$13,IF($W9&gt;0,リスト!$Y$14,IF($X9&gt;0,リスト!$Y$15,""))))))</f>
        <v/>
      </c>
      <c r="H9" s="176" t="str">
        <f>IF($L9&lt;&gt;"",COUNTIF(エントリー!$V$8:$V$87,$K9),"")</f>
        <v/>
      </c>
      <c r="K9" s="44">
        <f t="shared" si="0"/>
        <v>2</v>
      </c>
      <c r="L9" s="44" t="str">
        <f t="shared" ref="L9:L57" si="5">IF($B9&lt;&gt;"",SUBSTITUTE(SUBSTITUTE($B9,"　","")," ",""),"")</f>
        <v/>
      </c>
      <c r="M9" s="44" t="str">
        <f t="shared" ref="M9:M57" si="6">IF($C9&lt;&gt;"",SUBSTITUTE(SUBSTITUTE($C9,"　","")," ",""),IF($L9&lt;&gt;"",SUBSTITUTE(SUBSTITUTE($L9,"　","")," ",""),""))</f>
        <v/>
      </c>
      <c r="N9" s="44">
        <f t="shared" ref="N9:N57" si="7">$K9</f>
        <v>2</v>
      </c>
      <c r="O9" s="44" t="str">
        <f t="shared" ref="O9:O57" si="8">IF($D9&lt;&gt;"",SUBSTITUTE(SUBSTITUTE(ASC($D9),"　","")," ",""),"")</f>
        <v/>
      </c>
      <c r="P9" s="44" t="str">
        <f t="shared" ref="P9:P57" si="9">IF($E9&lt;&gt;"",SUBSTITUTE(SUBSTITUTE($E9,"　","")," ",""),"")</f>
        <v/>
      </c>
      <c r="Q9" s="44" t="str">
        <f t="shared" ref="Q9:Q57" si="10">IF($F9&lt;&gt;"",SUBSTITUTE(SUBSTITUTE(ASC($F9),"　","")," ",""),"")</f>
        <v/>
      </c>
      <c r="R9" s="44" t="str">
        <f>IF($Q9&lt;&gt;"",IFERROR(VLOOKUP(LEFT($Q9,3),'ISO3166-1'!$A$2:$B$250,2,FALSE),"不明("&amp;LEFT($Q9,3)&amp;")"),"")</f>
        <v/>
      </c>
      <c r="S9" s="44">
        <f t="shared" ref="S9:S57" si="11">IF($L9&lt;&gt;"",IFERROR(IF(COUNTIF($L$8:$L$57,$L9)&gt;1,1,0),1),0)</f>
        <v>0</v>
      </c>
      <c r="T9" s="44">
        <f t="shared" ref="T9:T57" si="12">IF($M9&lt;&gt;"",IFERROR(IF(COUNTIF($M$8:$M$57,$M9)&gt;1,1,0),1),0)</f>
        <v>0</v>
      </c>
      <c r="U9" s="44">
        <f t="shared" ref="U9:U57" si="13">IF($O9&lt;&gt;"",IFERROR(IF(COUNTIF($O$8:$O$57,$O9)&gt;1,1,0),1),0)</f>
        <v>0</v>
      </c>
      <c r="V9" s="44">
        <f t="shared" ref="V9:V57" si="14">IF($O9&lt;&gt;"",IFERROR(IF(OR(LEN($O9)&lt;&gt;5,ISERROR(VALUE($O9))),1,0),1),0)</f>
        <v>0</v>
      </c>
      <c r="W9" s="44">
        <f t="shared" ref="W9:W57" si="15">IF($Q9&lt;&gt;"",IFERROR(IF(COUNTIF($Q$8:$Q$57,$Q9)&gt;1,1,0),1),0)</f>
        <v>0</v>
      </c>
      <c r="X9" s="44">
        <f t="shared" ref="X9:X57" si="16">IF($Q9&lt;&gt;"",IFERROR(IF(OR(LEN($Q9)&lt;&gt;15,ISERROR(VALUE($Q9))),1,0),1),0)</f>
        <v>0</v>
      </c>
      <c r="AA9" s="44" t="str">
        <f t="shared" ref="AA9:AA57" ca="1" si="17">IF($AB9&lt;&gt;"",VLOOKUP($AB9,$K$8:$R$57,2)&amp;IF($AF9&lt;&gt;""," ("&amp;$AF9&amp;")",""),"")</f>
        <v/>
      </c>
      <c r="AB9" s="44" t="str">
        <f t="shared" ref="AB9:AB57" ca="1" si="18">$AQ9</f>
        <v/>
      </c>
      <c r="AC9" s="44" t="str">
        <f t="shared" ref="AC9:AC57" ca="1" si="19">IF($AB9&lt;&gt;"",VLOOKUP($AB9,$K$8:$R$57,2),"")</f>
        <v/>
      </c>
      <c r="AD9" s="44" t="str">
        <f t="shared" ref="AD9:AD57" ca="1" si="20">IF($AB9&lt;&gt;"",VLOOKUP($AB9,$K$8:$R$57,3),"")</f>
        <v/>
      </c>
      <c r="AE9" s="44" t="str">
        <f t="shared" ref="AE9:AE57" ca="1" si="21">IF($AB9&lt;&gt;"",VLOOKUP($AB9,$K$8:$R$57,5),"")</f>
        <v/>
      </c>
      <c r="AF9" s="44" t="str">
        <f t="shared" ref="AF9:AF57" ca="1" si="22">IF($AB9&lt;&gt;"",IF(VLOOKUP($AB9,$K$8:$R$57,6)&lt;&gt;"",VLOOKUP($AB9,$K$8:$R$57,6),""),"")</f>
        <v/>
      </c>
      <c r="AG9" s="44" t="str">
        <f t="shared" ref="AG9:AG57" ca="1" si="23">IF($AB9&lt;&gt;"",VLOOKUP($AB9,$K$8:$R$57,7),"")</f>
        <v/>
      </c>
      <c r="AH9" s="335" t="str">
        <f t="shared" ref="AH9:AH57" ca="1" si="24">IF($AB9&lt;&gt;"",VLOOKUP($AB9,$K$8:$R$57,8),"")</f>
        <v/>
      </c>
      <c r="AI9" s="44" t="str">
        <f t="shared" ref="AI9:AI57" ca="1" si="25">IF($AB9&lt;&gt;"",SUM(INDIRECT(ADDRESS(ROW($AB$7)+MATCH($AB9,$K$8:$K$107,0),COLUMN($S$8),1,1)&amp;":"&amp;ADDRESS(ROW($AB$7)+MATCH($AB9,$K$8:$K$107,0),COLUMN($X$8),1,1))),"")</f>
        <v/>
      </c>
      <c r="AL9" s="44">
        <f t="shared" ref="AL9:AL57" si="26">IF(L9&lt;&gt;"",AL8+1,AL8)</f>
        <v>0</v>
      </c>
      <c r="AM9" s="44">
        <f t="shared" ref="AM9:AM57" si="27">K9</f>
        <v>2</v>
      </c>
      <c r="AN9" s="44" t="str">
        <f t="shared" ref="AN9:AN57" ca="1" si="28">IF(AP9&lt;&gt;"",COUNTIF(INDIRECT($AO$3),"&lt;"&amp;AO9)+1,"")</f>
        <v/>
      </c>
      <c r="AO9" s="44" t="str">
        <f t="shared" ref="AO9:AO57" si="29">IF(AP9&lt;&gt;"",VLOOKUP($AP9,$K$8:$M$58,3)&amp;TEXT(AP9,"-000"),"")</f>
        <v/>
      </c>
      <c r="AP9" s="44" t="str">
        <f t="shared" ref="AP9:AP57" si="30">IFERROR(VLOOKUP(ROW(AP9)-ROW($AP$8)+1,$AL$8:$AM$57,2,FALSE),"")</f>
        <v/>
      </c>
      <c r="AQ9" s="44" t="str">
        <f t="shared" ref="AQ9:AQ57" ca="1" si="31">IF(AP9&lt;&gt;"",VLOOKUP(SMALL(INDIRECT($AO$1),ROW(A2)),INDIRECT($AO$2),3,FALSE),"")</f>
        <v/>
      </c>
    </row>
    <row r="10" spans="1:43" ht="21.95" customHeight="1" x14ac:dyDescent="0.4">
      <c r="A10" s="167">
        <v>3</v>
      </c>
      <c r="B10" s="133"/>
      <c r="C10" s="133"/>
      <c r="D10" s="315"/>
      <c r="E10" s="329"/>
      <c r="F10" s="316"/>
      <c r="G10" s="175" t="str">
        <f>IF(AND($B10&lt;&gt;"",$C10=""),リスト!$Y$12,IF($U10&gt;0,リスト!$Y$11,IF(OR($S10&gt;0,$T10&gt;0),リスト!$Y$10,IF($V10&gt;0,リスト!$Y$13,IF($W10&gt;0,リスト!$Y$14,IF($X10&gt;0,リスト!$Y$15,""))))))</f>
        <v/>
      </c>
      <c r="H10" s="176" t="str">
        <f>IF($L10&lt;&gt;"",COUNTIF(エントリー!$V$8:$V$87,$K10),"")</f>
        <v/>
      </c>
      <c r="K10" s="44">
        <f t="shared" si="0"/>
        <v>3</v>
      </c>
      <c r="L10" s="44" t="str">
        <f t="shared" si="5"/>
        <v/>
      </c>
      <c r="M10" s="44" t="str">
        <f t="shared" si="6"/>
        <v/>
      </c>
      <c r="N10" s="44">
        <f t="shared" si="7"/>
        <v>3</v>
      </c>
      <c r="O10" s="44" t="str">
        <f t="shared" si="8"/>
        <v/>
      </c>
      <c r="P10" s="44" t="str">
        <f t="shared" si="9"/>
        <v/>
      </c>
      <c r="Q10" s="44" t="str">
        <f t="shared" si="10"/>
        <v/>
      </c>
      <c r="R10" s="44" t="str">
        <f>IF($Q10&lt;&gt;"",IFERROR(VLOOKUP(LEFT($Q10,3),'ISO3166-1'!$A$2:$B$250,2,FALSE),"不明("&amp;LEFT($Q10,3)&amp;")"),"")</f>
        <v/>
      </c>
      <c r="S10" s="44">
        <f t="shared" si="11"/>
        <v>0</v>
      </c>
      <c r="T10" s="44">
        <f t="shared" si="12"/>
        <v>0</v>
      </c>
      <c r="U10" s="44">
        <f t="shared" si="13"/>
        <v>0</v>
      </c>
      <c r="V10" s="44">
        <f t="shared" si="14"/>
        <v>0</v>
      </c>
      <c r="W10" s="44">
        <f t="shared" si="15"/>
        <v>0</v>
      </c>
      <c r="X10" s="44">
        <f t="shared" si="16"/>
        <v>0</v>
      </c>
      <c r="AA10" s="44" t="str">
        <f t="shared" ca="1" si="17"/>
        <v/>
      </c>
      <c r="AB10" s="44" t="str">
        <f t="shared" ca="1" si="18"/>
        <v/>
      </c>
      <c r="AC10" s="44" t="str">
        <f t="shared" ca="1" si="19"/>
        <v/>
      </c>
      <c r="AD10" s="44" t="str">
        <f t="shared" ca="1" si="20"/>
        <v/>
      </c>
      <c r="AE10" s="44" t="str">
        <f t="shared" ca="1" si="21"/>
        <v/>
      </c>
      <c r="AF10" s="44" t="str">
        <f t="shared" ca="1" si="22"/>
        <v/>
      </c>
      <c r="AG10" s="44" t="str">
        <f t="shared" ca="1" si="23"/>
        <v/>
      </c>
      <c r="AH10" s="335" t="str">
        <f t="shared" ca="1" si="24"/>
        <v/>
      </c>
      <c r="AI10" s="44" t="str">
        <f t="shared" ca="1" si="25"/>
        <v/>
      </c>
      <c r="AL10" s="44">
        <f t="shared" si="26"/>
        <v>0</v>
      </c>
      <c r="AM10" s="44">
        <f t="shared" si="27"/>
        <v>3</v>
      </c>
      <c r="AN10" s="44" t="str">
        <f t="shared" ca="1" si="28"/>
        <v/>
      </c>
      <c r="AO10" s="44" t="str">
        <f t="shared" si="29"/>
        <v/>
      </c>
      <c r="AP10" s="44" t="str">
        <f t="shared" si="30"/>
        <v/>
      </c>
      <c r="AQ10" s="44" t="str">
        <f t="shared" ca="1" si="31"/>
        <v/>
      </c>
    </row>
    <row r="11" spans="1:43" ht="21.95" customHeight="1" x14ac:dyDescent="0.4">
      <c r="A11" s="167">
        <v>4</v>
      </c>
      <c r="B11" s="133"/>
      <c r="C11" s="133"/>
      <c r="D11" s="315"/>
      <c r="E11" s="329"/>
      <c r="F11" s="316"/>
      <c r="G11" s="175" t="str">
        <f>IF(AND($B11&lt;&gt;"",$C11=""),リスト!$Y$12,IF($U11&gt;0,リスト!$Y$11,IF(OR($S11&gt;0,$T11&gt;0),リスト!$Y$10,IF($V11&gt;0,リスト!$Y$13,IF($W11&gt;0,リスト!$Y$14,IF($X11&gt;0,リスト!$Y$15,""))))))</f>
        <v/>
      </c>
      <c r="H11" s="176" t="str">
        <f>IF($L11&lt;&gt;"",COUNTIF(エントリー!$V$8:$V$87,$K11),"")</f>
        <v/>
      </c>
      <c r="K11" s="44">
        <f t="shared" si="0"/>
        <v>4</v>
      </c>
      <c r="L11" s="44" t="str">
        <f t="shared" si="5"/>
        <v/>
      </c>
      <c r="M11" s="44" t="str">
        <f t="shared" si="6"/>
        <v/>
      </c>
      <c r="N11" s="44">
        <f t="shared" si="7"/>
        <v>4</v>
      </c>
      <c r="O11" s="44" t="str">
        <f t="shared" si="8"/>
        <v/>
      </c>
      <c r="P11" s="44" t="str">
        <f t="shared" si="9"/>
        <v/>
      </c>
      <c r="Q11" s="44" t="str">
        <f t="shared" si="10"/>
        <v/>
      </c>
      <c r="R11" s="44" t="str">
        <f>IF($Q11&lt;&gt;"",IFERROR(VLOOKUP(LEFT($Q11,3),'ISO3166-1'!$A$2:$B$250,2,FALSE),"不明("&amp;LEFT($Q11,3)&amp;")"),"")</f>
        <v/>
      </c>
      <c r="S11" s="44">
        <f t="shared" si="11"/>
        <v>0</v>
      </c>
      <c r="T11" s="44">
        <f t="shared" si="12"/>
        <v>0</v>
      </c>
      <c r="U11" s="44">
        <f t="shared" si="13"/>
        <v>0</v>
      </c>
      <c r="V11" s="44">
        <f t="shared" si="14"/>
        <v>0</v>
      </c>
      <c r="W11" s="44">
        <f t="shared" si="15"/>
        <v>0</v>
      </c>
      <c r="X11" s="44">
        <f t="shared" si="16"/>
        <v>0</v>
      </c>
      <c r="AA11" s="44" t="str">
        <f t="shared" ca="1" si="17"/>
        <v/>
      </c>
      <c r="AB11" s="44" t="str">
        <f t="shared" ca="1" si="18"/>
        <v/>
      </c>
      <c r="AC11" s="44" t="str">
        <f t="shared" ca="1" si="19"/>
        <v/>
      </c>
      <c r="AD11" s="44" t="str">
        <f t="shared" ca="1" si="20"/>
        <v/>
      </c>
      <c r="AE11" s="44" t="str">
        <f t="shared" ca="1" si="21"/>
        <v/>
      </c>
      <c r="AF11" s="44" t="str">
        <f t="shared" ca="1" si="22"/>
        <v/>
      </c>
      <c r="AG11" s="44" t="str">
        <f t="shared" ca="1" si="23"/>
        <v/>
      </c>
      <c r="AH11" s="335" t="str">
        <f t="shared" ca="1" si="24"/>
        <v/>
      </c>
      <c r="AI11" s="44" t="str">
        <f t="shared" ca="1" si="25"/>
        <v/>
      </c>
      <c r="AL11" s="44">
        <f t="shared" si="26"/>
        <v>0</v>
      </c>
      <c r="AM11" s="44">
        <f t="shared" si="27"/>
        <v>4</v>
      </c>
      <c r="AN11" s="44" t="str">
        <f t="shared" ca="1" si="28"/>
        <v/>
      </c>
      <c r="AO11" s="44" t="str">
        <f t="shared" si="29"/>
        <v/>
      </c>
      <c r="AP11" s="44" t="str">
        <f t="shared" si="30"/>
        <v/>
      </c>
      <c r="AQ11" s="44" t="str">
        <f t="shared" ca="1" si="31"/>
        <v/>
      </c>
    </row>
    <row r="12" spans="1:43" ht="21.95" customHeight="1" x14ac:dyDescent="0.4">
      <c r="A12" s="167">
        <v>5</v>
      </c>
      <c r="B12" s="133"/>
      <c r="C12" s="133"/>
      <c r="D12" s="315"/>
      <c r="E12" s="329"/>
      <c r="F12" s="316"/>
      <c r="G12" s="175" t="str">
        <f>IF(AND($B12&lt;&gt;"",$C12=""),リスト!$Y$12,IF($U12&gt;0,リスト!$Y$11,IF(OR($S12&gt;0,$T12&gt;0),リスト!$Y$10,IF($V12&gt;0,リスト!$Y$13,IF($W12&gt;0,リスト!$Y$14,IF($X12&gt;0,リスト!$Y$15,""))))))</f>
        <v/>
      </c>
      <c r="H12" s="176" t="str">
        <f>IF($L12&lt;&gt;"",COUNTIF(エントリー!$V$8:$V$87,$K12),"")</f>
        <v/>
      </c>
      <c r="K12" s="44">
        <f t="shared" si="0"/>
        <v>5</v>
      </c>
      <c r="L12" s="44" t="str">
        <f t="shared" si="5"/>
        <v/>
      </c>
      <c r="M12" s="44" t="str">
        <f t="shared" si="6"/>
        <v/>
      </c>
      <c r="N12" s="44">
        <f t="shared" si="7"/>
        <v>5</v>
      </c>
      <c r="O12" s="44" t="str">
        <f t="shared" si="8"/>
        <v/>
      </c>
      <c r="P12" s="44" t="str">
        <f t="shared" si="9"/>
        <v/>
      </c>
      <c r="Q12" s="44" t="str">
        <f t="shared" si="10"/>
        <v/>
      </c>
      <c r="R12" s="44" t="str">
        <f>IF($Q12&lt;&gt;"",IFERROR(VLOOKUP(LEFT($Q12,3),'ISO3166-1'!$A$2:$B$250,2,FALSE),"不明("&amp;LEFT($Q12,3)&amp;")"),"")</f>
        <v/>
      </c>
      <c r="S12" s="44">
        <f t="shared" si="11"/>
        <v>0</v>
      </c>
      <c r="T12" s="44">
        <f t="shared" si="12"/>
        <v>0</v>
      </c>
      <c r="U12" s="44">
        <f t="shared" si="13"/>
        <v>0</v>
      </c>
      <c r="V12" s="44">
        <f t="shared" si="14"/>
        <v>0</v>
      </c>
      <c r="W12" s="44">
        <f t="shared" si="15"/>
        <v>0</v>
      </c>
      <c r="X12" s="44">
        <f t="shared" si="16"/>
        <v>0</v>
      </c>
      <c r="AA12" s="44" t="str">
        <f t="shared" ca="1" si="17"/>
        <v/>
      </c>
      <c r="AB12" s="44" t="str">
        <f t="shared" ca="1" si="18"/>
        <v/>
      </c>
      <c r="AC12" s="44" t="str">
        <f t="shared" ca="1" si="19"/>
        <v/>
      </c>
      <c r="AD12" s="44" t="str">
        <f t="shared" ca="1" si="20"/>
        <v/>
      </c>
      <c r="AE12" s="44" t="str">
        <f t="shared" ca="1" si="21"/>
        <v/>
      </c>
      <c r="AF12" s="44" t="str">
        <f t="shared" ca="1" si="22"/>
        <v/>
      </c>
      <c r="AG12" s="44" t="str">
        <f t="shared" ca="1" si="23"/>
        <v/>
      </c>
      <c r="AH12" s="335" t="str">
        <f t="shared" ca="1" si="24"/>
        <v/>
      </c>
      <c r="AI12" s="44" t="str">
        <f t="shared" ca="1" si="25"/>
        <v/>
      </c>
      <c r="AL12" s="44">
        <f t="shared" si="26"/>
        <v>0</v>
      </c>
      <c r="AM12" s="44">
        <f t="shared" si="27"/>
        <v>5</v>
      </c>
      <c r="AN12" s="44" t="str">
        <f t="shared" ca="1" si="28"/>
        <v/>
      </c>
      <c r="AO12" s="44" t="str">
        <f t="shared" si="29"/>
        <v/>
      </c>
      <c r="AP12" s="44" t="str">
        <f t="shared" si="30"/>
        <v/>
      </c>
      <c r="AQ12" s="44" t="str">
        <f t="shared" ca="1" si="31"/>
        <v/>
      </c>
    </row>
    <row r="13" spans="1:43" ht="21.95" customHeight="1" x14ac:dyDescent="0.4">
      <c r="A13" s="167">
        <v>6</v>
      </c>
      <c r="B13" s="133"/>
      <c r="C13" s="133"/>
      <c r="D13" s="315"/>
      <c r="E13" s="329"/>
      <c r="F13" s="316"/>
      <c r="G13" s="175" t="str">
        <f>IF(AND($B13&lt;&gt;"",$C13=""),リスト!$Y$12,IF($U13&gt;0,リスト!$Y$11,IF(OR($S13&gt;0,$T13&gt;0),リスト!$Y$10,IF($V13&gt;0,リスト!$Y$13,IF($W13&gt;0,リスト!$Y$14,IF($X13&gt;0,リスト!$Y$15,""))))))</f>
        <v/>
      </c>
      <c r="H13" s="176" t="str">
        <f>IF($L13&lt;&gt;"",COUNTIF(エントリー!$V$8:$V$87,$K13),"")</f>
        <v/>
      </c>
      <c r="K13" s="44">
        <f t="shared" si="0"/>
        <v>6</v>
      </c>
      <c r="L13" s="44" t="str">
        <f t="shared" si="5"/>
        <v/>
      </c>
      <c r="M13" s="44" t="str">
        <f t="shared" si="6"/>
        <v/>
      </c>
      <c r="N13" s="44">
        <f t="shared" si="7"/>
        <v>6</v>
      </c>
      <c r="O13" s="44" t="str">
        <f t="shared" si="8"/>
        <v/>
      </c>
      <c r="P13" s="44" t="str">
        <f t="shared" si="9"/>
        <v/>
      </c>
      <c r="Q13" s="44" t="str">
        <f t="shared" si="10"/>
        <v/>
      </c>
      <c r="R13" s="44" t="str">
        <f>IF($Q13&lt;&gt;"",IFERROR(VLOOKUP(LEFT($Q13,3),'ISO3166-1'!$A$2:$B$250,2,FALSE),"不明("&amp;LEFT($Q13,3)&amp;")"),"")</f>
        <v/>
      </c>
      <c r="S13" s="44">
        <f t="shared" si="11"/>
        <v>0</v>
      </c>
      <c r="T13" s="44">
        <f t="shared" si="12"/>
        <v>0</v>
      </c>
      <c r="U13" s="44">
        <f t="shared" si="13"/>
        <v>0</v>
      </c>
      <c r="V13" s="44">
        <f t="shared" si="14"/>
        <v>0</v>
      </c>
      <c r="W13" s="44">
        <f t="shared" si="15"/>
        <v>0</v>
      </c>
      <c r="X13" s="44">
        <f t="shared" si="16"/>
        <v>0</v>
      </c>
      <c r="AA13" s="44" t="str">
        <f t="shared" ca="1" si="17"/>
        <v/>
      </c>
      <c r="AB13" s="44" t="str">
        <f t="shared" ca="1" si="18"/>
        <v/>
      </c>
      <c r="AC13" s="44" t="str">
        <f t="shared" ca="1" si="19"/>
        <v/>
      </c>
      <c r="AD13" s="44" t="str">
        <f t="shared" ca="1" si="20"/>
        <v/>
      </c>
      <c r="AE13" s="44" t="str">
        <f t="shared" ca="1" si="21"/>
        <v/>
      </c>
      <c r="AF13" s="44" t="str">
        <f t="shared" ca="1" si="22"/>
        <v/>
      </c>
      <c r="AG13" s="44" t="str">
        <f t="shared" ca="1" si="23"/>
        <v/>
      </c>
      <c r="AH13" s="335" t="str">
        <f t="shared" ca="1" si="24"/>
        <v/>
      </c>
      <c r="AI13" s="44" t="str">
        <f t="shared" ca="1" si="25"/>
        <v/>
      </c>
      <c r="AL13" s="44">
        <f t="shared" si="26"/>
        <v>0</v>
      </c>
      <c r="AM13" s="44">
        <f t="shared" si="27"/>
        <v>6</v>
      </c>
      <c r="AN13" s="44" t="str">
        <f t="shared" ca="1" si="28"/>
        <v/>
      </c>
      <c r="AO13" s="44" t="str">
        <f t="shared" si="29"/>
        <v/>
      </c>
      <c r="AP13" s="44" t="str">
        <f t="shared" si="30"/>
        <v/>
      </c>
      <c r="AQ13" s="44" t="str">
        <f t="shared" ca="1" si="31"/>
        <v/>
      </c>
    </row>
    <row r="14" spans="1:43" ht="21.95" customHeight="1" x14ac:dyDescent="0.4">
      <c r="A14" s="167">
        <v>7</v>
      </c>
      <c r="B14" s="133"/>
      <c r="C14" s="133"/>
      <c r="D14" s="315"/>
      <c r="E14" s="329"/>
      <c r="F14" s="316"/>
      <c r="G14" s="175" t="str">
        <f>IF(AND($B14&lt;&gt;"",$C14=""),リスト!$Y$12,IF($U14&gt;0,リスト!$Y$11,IF(OR($S14&gt;0,$T14&gt;0),リスト!$Y$10,IF($V14&gt;0,リスト!$Y$13,IF($W14&gt;0,リスト!$Y$14,IF($X14&gt;0,リスト!$Y$15,""))))))</f>
        <v/>
      </c>
      <c r="H14" s="176" t="str">
        <f>IF($L14&lt;&gt;"",COUNTIF(エントリー!$V$8:$V$87,$K14),"")</f>
        <v/>
      </c>
      <c r="K14" s="44">
        <f t="shared" si="0"/>
        <v>7</v>
      </c>
      <c r="L14" s="44" t="str">
        <f t="shared" si="5"/>
        <v/>
      </c>
      <c r="M14" s="44" t="str">
        <f t="shared" si="6"/>
        <v/>
      </c>
      <c r="N14" s="44">
        <f t="shared" si="7"/>
        <v>7</v>
      </c>
      <c r="O14" s="44" t="str">
        <f t="shared" si="8"/>
        <v/>
      </c>
      <c r="P14" s="44" t="str">
        <f t="shared" si="9"/>
        <v/>
      </c>
      <c r="Q14" s="44" t="str">
        <f t="shared" si="10"/>
        <v/>
      </c>
      <c r="R14" s="44" t="str">
        <f>IF($Q14&lt;&gt;"",IFERROR(VLOOKUP(LEFT($Q14,3),'ISO3166-1'!$A$2:$B$250,2,FALSE),"不明("&amp;LEFT($Q14,3)&amp;")"),"")</f>
        <v/>
      </c>
      <c r="S14" s="44">
        <f t="shared" si="11"/>
        <v>0</v>
      </c>
      <c r="T14" s="44">
        <f t="shared" si="12"/>
        <v>0</v>
      </c>
      <c r="U14" s="44">
        <f t="shared" si="13"/>
        <v>0</v>
      </c>
      <c r="V14" s="44">
        <f t="shared" si="14"/>
        <v>0</v>
      </c>
      <c r="W14" s="44">
        <f t="shared" si="15"/>
        <v>0</v>
      </c>
      <c r="X14" s="44">
        <f t="shared" si="16"/>
        <v>0</v>
      </c>
      <c r="AA14" s="44" t="str">
        <f t="shared" ca="1" si="17"/>
        <v/>
      </c>
      <c r="AB14" s="44" t="str">
        <f t="shared" ca="1" si="18"/>
        <v/>
      </c>
      <c r="AC14" s="44" t="str">
        <f t="shared" ca="1" si="19"/>
        <v/>
      </c>
      <c r="AD14" s="44" t="str">
        <f t="shared" ca="1" si="20"/>
        <v/>
      </c>
      <c r="AE14" s="44" t="str">
        <f t="shared" ca="1" si="21"/>
        <v/>
      </c>
      <c r="AF14" s="44" t="str">
        <f t="shared" ca="1" si="22"/>
        <v/>
      </c>
      <c r="AG14" s="44" t="str">
        <f t="shared" ca="1" si="23"/>
        <v/>
      </c>
      <c r="AH14" s="335" t="str">
        <f t="shared" ca="1" si="24"/>
        <v/>
      </c>
      <c r="AI14" s="44" t="str">
        <f t="shared" ca="1" si="25"/>
        <v/>
      </c>
      <c r="AL14" s="44">
        <f t="shared" si="26"/>
        <v>0</v>
      </c>
      <c r="AM14" s="44">
        <f t="shared" si="27"/>
        <v>7</v>
      </c>
      <c r="AN14" s="44" t="str">
        <f t="shared" ca="1" si="28"/>
        <v/>
      </c>
      <c r="AO14" s="44" t="str">
        <f t="shared" si="29"/>
        <v/>
      </c>
      <c r="AP14" s="44" t="str">
        <f t="shared" si="30"/>
        <v/>
      </c>
      <c r="AQ14" s="44" t="str">
        <f t="shared" ca="1" si="31"/>
        <v/>
      </c>
    </row>
    <row r="15" spans="1:43" ht="21.95" customHeight="1" x14ac:dyDescent="0.4">
      <c r="A15" s="167">
        <v>8</v>
      </c>
      <c r="B15" s="133"/>
      <c r="C15" s="133"/>
      <c r="D15" s="315"/>
      <c r="E15" s="329"/>
      <c r="F15" s="316"/>
      <c r="G15" s="175" t="str">
        <f>IF(AND($B15&lt;&gt;"",$C15=""),リスト!$Y$12,IF($U15&gt;0,リスト!$Y$11,IF(OR($S15&gt;0,$T15&gt;0),リスト!$Y$10,IF($V15&gt;0,リスト!$Y$13,IF($W15&gt;0,リスト!$Y$14,IF($X15&gt;0,リスト!$Y$15,""))))))</f>
        <v/>
      </c>
      <c r="H15" s="176" t="str">
        <f>IF($L15&lt;&gt;"",COUNTIF(エントリー!$V$8:$V$87,$K15),"")</f>
        <v/>
      </c>
      <c r="K15" s="44">
        <f t="shared" si="0"/>
        <v>8</v>
      </c>
      <c r="L15" s="44" t="str">
        <f t="shared" si="5"/>
        <v/>
      </c>
      <c r="M15" s="44" t="str">
        <f t="shared" si="6"/>
        <v/>
      </c>
      <c r="N15" s="44">
        <f t="shared" si="7"/>
        <v>8</v>
      </c>
      <c r="O15" s="44" t="str">
        <f t="shared" si="8"/>
        <v/>
      </c>
      <c r="P15" s="44" t="str">
        <f t="shared" si="9"/>
        <v/>
      </c>
      <c r="Q15" s="44" t="str">
        <f t="shared" si="10"/>
        <v/>
      </c>
      <c r="R15" s="44" t="str">
        <f>IF($Q15&lt;&gt;"",IFERROR(VLOOKUP(LEFT($Q15,3),'ISO3166-1'!$A$2:$B$250,2,FALSE),"不明("&amp;LEFT($Q15,3)&amp;")"),"")</f>
        <v/>
      </c>
      <c r="S15" s="44">
        <f t="shared" si="11"/>
        <v>0</v>
      </c>
      <c r="T15" s="44">
        <f t="shared" si="12"/>
        <v>0</v>
      </c>
      <c r="U15" s="44">
        <f t="shared" si="13"/>
        <v>0</v>
      </c>
      <c r="V15" s="44">
        <f t="shared" si="14"/>
        <v>0</v>
      </c>
      <c r="W15" s="44">
        <f t="shared" si="15"/>
        <v>0</v>
      </c>
      <c r="X15" s="44">
        <f t="shared" si="16"/>
        <v>0</v>
      </c>
      <c r="AA15" s="44" t="str">
        <f t="shared" ca="1" si="17"/>
        <v/>
      </c>
      <c r="AB15" s="44" t="str">
        <f t="shared" ca="1" si="18"/>
        <v/>
      </c>
      <c r="AC15" s="44" t="str">
        <f t="shared" ca="1" si="19"/>
        <v/>
      </c>
      <c r="AD15" s="44" t="str">
        <f t="shared" ca="1" si="20"/>
        <v/>
      </c>
      <c r="AE15" s="44" t="str">
        <f t="shared" ca="1" si="21"/>
        <v/>
      </c>
      <c r="AF15" s="44" t="str">
        <f t="shared" ca="1" si="22"/>
        <v/>
      </c>
      <c r="AG15" s="44" t="str">
        <f t="shared" ca="1" si="23"/>
        <v/>
      </c>
      <c r="AH15" s="335" t="str">
        <f t="shared" ca="1" si="24"/>
        <v/>
      </c>
      <c r="AI15" s="44" t="str">
        <f t="shared" ca="1" si="25"/>
        <v/>
      </c>
      <c r="AL15" s="44">
        <f t="shared" si="26"/>
        <v>0</v>
      </c>
      <c r="AM15" s="44">
        <f t="shared" si="27"/>
        <v>8</v>
      </c>
      <c r="AN15" s="44" t="str">
        <f t="shared" ca="1" si="28"/>
        <v/>
      </c>
      <c r="AO15" s="44" t="str">
        <f t="shared" si="29"/>
        <v/>
      </c>
      <c r="AP15" s="44" t="str">
        <f t="shared" si="30"/>
        <v/>
      </c>
      <c r="AQ15" s="44" t="str">
        <f t="shared" ca="1" si="31"/>
        <v/>
      </c>
    </row>
    <row r="16" spans="1:43" ht="21.95" customHeight="1" x14ac:dyDescent="0.4">
      <c r="A16" s="167">
        <v>9</v>
      </c>
      <c r="B16" s="133"/>
      <c r="C16" s="133"/>
      <c r="D16" s="315"/>
      <c r="E16" s="329"/>
      <c r="F16" s="316"/>
      <c r="G16" s="175" t="str">
        <f>IF(AND($B16&lt;&gt;"",$C16=""),リスト!$Y$12,IF($U16&gt;0,リスト!$Y$11,IF(OR($S16&gt;0,$T16&gt;0),リスト!$Y$10,IF($V16&gt;0,リスト!$Y$13,IF($W16&gt;0,リスト!$Y$14,IF($X16&gt;0,リスト!$Y$15,""))))))</f>
        <v/>
      </c>
      <c r="H16" s="176" t="str">
        <f>IF($L16&lt;&gt;"",COUNTIF(エントリー!$V$8:$V$87,$K16),"")</f>
        <v/>
      </c>
      <c r="K16" s="44">
        <f t="shared" si="0"/>
        <v>9</v>
      </c>
      <c r="L16" s="44" t="str">
        <f t="shared" si="5"/>
        <v/>
      </c>
      <c r="M16" s="44" t="str">
        <f t="shared" si="6"/>
        <v/>
      </c>
      <c r="N16" s="44">
        <f t="shared" si="7"/>
        <v>9</v>
      </c>
      <c r="O16" s="44" t="str">
        <f t="shared" si="8"/>
        <v/>
      </c>
      <c r="P16" s="44" t="str">
        <f t="shared" si="9"/>
        <v/>
      </c>
      <c r="Q16" s="44" t="str">
        <f t="shared" si="10"/>
        <v/>
      </c>
      <c r="R16" s="44" t="str">
        <f>IF($Q16&lt;&gt;"",IFERROR(VLOOKUP(LEFT($Q16,3),'ISO3166-1'!$A$2:$B$250,2,FALSE),"不明("&amp;LEFT($Q16,3)&amp;")"),"")</f>
        <v/>
      </c>
      <c r="S16" s="44">
        <f t="shared" si="11"/>
        <v>0</v>
      </c>
      <c r="T16" s="44">
        <f t="shared" si="12"/>
        <v>0</v>
      </c>
      <c r="U16" s="44">
        <f t="shared" si="13"/>
        <v>0</v>
      </c>
      <c r="V16" s="44">
        <f t="shared" si="14"/>
        <v>0</v>
      </c>
      <c r="W16" s="44">
        <f t="shared" si="15"/>
        <v>0</v>
      </c>
      <c r="X16" s="44">
        <f t="shared" si="16"/>
        <v>0</v>
      </c>
      <c r="AA16" s="44" t="str">
        <f t="shared" ca="1" si="17"/>
        <v/>
      </c>
      <c r="AB16" s="44" t="str">
        <f t="shared" ca="1" si="18"/>
        <v/>
      </c>
      <c r="AC16" s="44" t="str">
        <f t="shared" ca="1" si="19"/>
        <v/>
      </c>
      <c r="AD16" s="44" t="str">
        <f t="shared" ca="1" si="20"/>
        <v/>
      </c>
      <c r="AE16" s="44" t="str">
        <f t="shared" ca="1" si="21"/>
        <v/>
      </c>
      <c r="AF16" s="44" t="str">
        <f t="shared" ca="1" si="22"/>
        <v/>
      </c>
      <c r="AG16" s="44" t="str">
        <f t="shared" ca="1" si="23"/>
        <v/>
      </c>
      <c r="AH16" s="335" t="str">
        <f t="shared" ca="1" si="24"/>
        <v/>
      </c>
      <c r="AI16" s="44" t="str">
        <f t="shared" ca="1" si="25"/>
        <v/>
      </c>
      <c r="AL16" s="44">
        <f t="shared" si="26"/>
        <v>0</v>
      </c>
      <c r="AM16" s="44">
        <f t="shared" si="27"/>
        <v>9</v>
      </c>
      <c r="AN16" s="44" t="str">
        <f t="shared" ca="1" si="28"/>
        <v/>
      </c>
      <c r="AO16" s="44" t="str">
        <f t="shared" si="29"/>
        <v/>
      </c>
      <c r="AP16" s="44" t="str">
        <f t="shared" si="30"/>
        <v/>
      </c>
      <c r="AQ16" s="44" t="str">
        <f t="shared" ca="1" si="31"/>
        <v/>
      </c>
    </row>
    <row r="17" spans="1:43" ht="21.95" customHeight="1" x14ac:dyDescent="0.4">
      <c r="A17" s="167">
        <v>10</v>
      </c>
      <c r="B17" s="133"/>
      <c r="C17" s="133"/>
      <c r="D17" s="315"/>
      <c r="E17" s="329"/>
      <c r="F17" s="316"/>
      <c r="G17" s="175" t="str">
        <f>IF(AND($B17&lt;&gt;"",$C17=""),リスト!$Y$12,IF($U17&gt;0,リスト!$Y$11,IF(OR($S17&gt;0,$T17&gt;0),リスト!$Y$10,IF($V17&gt;0,リスト!$Y$13,IF($W17&gt;0,リスト!$Y$14,IF($X17&gt;0,リスト!$Y$15,""))))))</f>
        <v/>
      </c>
      <c r="H17" s="176" t="str">
        <f>IF($L17&lt;&gt;"",COUNTIF(エントリー!$V$8:$V$87,$K17),"")</f>
        <v/>
      </c>
      <c r="K17" s="44">
        <f t="shared" si="0"/>
        <v>10</v>
      </c>
      <c r="L17" s="44" t="str">
        <f t="shared" si="5"/>
        <v/>
      </c>
      <c r="M17" s="44" t="str">
        <f t="shared" si="6"/>
        <v/>
      </c>
      <c r="N17" s="44">
        <f t="shared" si="7"/>
        <v>10</v>
      </c>
      <c r="O17" s="44" t="str">
        <f t="shared" si="8"/>
        <v/>
      </c>
      <c r="P17" s="44" t="str">
        <f t="shared" si="9"/>
        <v/>
      </c>
      <c r="Q17" s="44" t="str">
        <f t="shared" si="10"/>
        <v/>
      </c>
      <c r="R17" s="44" t="str">
        <f>IF($Q17&lt;&gt;"",IFERROR(VLOOKUP(LEFT($Q17,3),'ISO3166-1'!$A$2:$B$250,2,FALSE),"不明("&amp;LEFT($Q17,3)&amp;")"),"")</f>
        <v/>
      </c>
      <c r="S17" s="44">
        <f t="shared" si="11"/>
        <v>0</v>
      </c>
      <c r="T17" s="44">
        <f t="shared" si="12"/>
        <v>0</v>
      </c>
      <c r="U17" s="44">
        <f t="shared" si="13"/>
        <v>0</v>
      </c>
      <c r="V17" s="44">
        <f t="shared" si="14"/>
        <v>0</v>
      </c>
      <c r="W17" s="44">
        <f t="shared" si="15"/>
        <v>0</v>
      </c>
      <c r="X17" s="44">
        <f t="shared" si="16"/>
        <v>0</v>
      </c>
      <c r="AA17" s="44" t="str">
        <f t="shared" ca="1" si="17"/>
        <v/>
      </c>
      <c r="AB17" s="44" t="str">
        <f t="shared" ca="1" si="18"/>
        <v/>
      </c>
      <c r="AC17" s="44" t="str">
        <f t="shared" ca="1" si="19"/>
        <v/>
      </c>
      <c r="AD17" s="44" t="str">
        <f t="shared" ca="1" si="20"/>
        <v/>
      </c>
      <c r="AE17" s="44" t="str">
        <f t="shared" ca="1" si="21"/>
        <v/>
      </c>
      <c r="AF17" s="44" t="str">
        <f t="shared" ca="1" si="22"/>
        <v/>
      </c>
      <c r="AG17" s="44" t="str">
        <f t="shared" ca="1" si="23"/>
        <v/>
      </c>
      <c r="AH17" s="335" t="str">
        <f t="shared" ca="1" si="24"/>
        <v/>
      </c>
      <c r="AI17" s="44" t="str">
        <f t="shared" ca="1" si="25"/>
        <v/>
      </c>
      <c r="AL17" s="44">
        <f t="shared" si="26"/>
        <v>0</v>
      </c>
      <c r="AM17" s="44">
        <f t="shared" si="27"/>
        <v>10</v>
      </c>
      <c r="AN17" s="44" t="str">
        <f t="shared" ca="1" si="28"/>
        <v/>
      </c>
      <c r="AO17" s="44" t="str">
        <f t="shared" si="29"/>
        <v/>
      </c>
      <c r="AP17" s="44" t="str">
        <f t="shared" si="30"/>
        <v/>
      </c>
      <c r="AQ17" s="44" t="str">
        <f t="shared" ca="1" si="31"/>
        <v/>
      </c>
    </row>
    <row r="18" spans="1:43" ht="21.95" customHeight="1" x14ac:dyDescent="0.4">
      <c r="A18" s="167">
        <v>11</v>
      </c>
      <c r="B18" s="133"/>
      <c r="C18" s="133"/>
      <c r="D18" s="315"/>
      <c r="E18" s="329"/>
      <c r="F18" s="316"/>
      <c r="G18" s="175" t="str">
        <f>IF(AND($B18&lt;&gt;"",$C18=""),リスト!$Y$12,IF($U18&gt;0,リスト!$Y$11,IF(OR($S18&gt;0,$T18&gt;0),リスト!$Y$10,IF($V18&gt;0,リスト!$Y$13,IF($W18&gt;0,リスト!$Y$14,IF($X18&gt;0,リスト!$Y$15,""))))))</f>
        <v/>
      </c>
      <c r="H18" s="176" t="str">
        <f>IF($L18&lt;&gt;"",COUNTIF(エントリー!$V$8:$V$87,$K18),"")</f>
        <v/>
      </c>
      <c r="K18" s="44">
        <f t="shared" si="0"/>
        <v>11</v>
      </c>
      <c r="L18" s="44" t="str">
        <f t="shared" si="5"/>
        <v/>
      </c>
      <c r="M18" s="44" t="str">
        <f t="shared" si="6"/>
        <v/>
      </c>
      <c r="N18" s="44">
        <f t="shared" si="7"/>
        <v>11</v>
      </c>
      <c r="O18" s="44" t="str">
        <f t="shared" si="8"/>
        <v/>
      </c>
      <c r="P18" s="44" t="str">
        <f t="shared" si="9"/>
        <v/>
      </c>
      <c r="Q18" s="44" t="str">
        <f t="shared" si="10"/>
        <v/>
      </c>
      <c r="R18" s="44" t="str">
        <f>IF($Q18&lt;&gt;"",IFERROR(VLOOKUP(LEFT($Q18,3),'ISO3166-1'!$A$2:$B$250,2,FALSE),"不明("&amp;LEFT($Q18,3)&amp;")"),"")</f>
        <v/>
      </c>
      <c r="S18" s="44">
        <f t="shared" si="11"/>
        <v>0</v>
      </c>
      <c r="T18" s="44">
        <f t="shared" si="12"/>
        <v>0</v>
      </c>
      <c r="U18" s="44">
        <f t="shared" si="13"/>
        <v>0</v>
      </c>
      <c r="V18" s="44">
        <f t="shared" si="14"/>
        <v>0</v>
      </c>
      <c r="W18" s="44">
        <f t="shared" si="15"/>
        <v>0</v>
      </c>
      <c r="X18" s="44">
        <f t="shared" si="16"/>
        <v>0</v>
      </c>
      <c r="AA18" s="44" t="str">
        <f t="shared" ca="1" si="17"/>
        <v/>
      </c>
      <c r="AB18" s="44" t="str">
        <f t="shared" ca="1" si="18"/>
        <v/>
      </c>
      <c r="AC18" s="44" t="str">
        <f t="shared" ca="1" si="19"/>
        <v/>
      </c>
      <c r="AD18" s="44" t="str">
        <f t="shared" ca="1" si="20"/>
        <v/>
      </c>
      <c r="AE18" s="44" t="str">
        <f t="shared" ca="1" si="21"/>
        <v/>
      </c>
      <c r="AF18" s="44" t="str">
        <f t="shared" ca="1" si="22"/>
        <v/>
      </c>
      <c r="AG18" s="44" t="str">
        <f t="shared" ca="1" si="23"/>
        <v/>
      </c>
      <c r="AH18" s="335" t="str">
        <f t="shared" ca="1" si="24"/>
        <v/>
      </c>
      <c r="AI18" s="44" t="str">
        <f t="shared" ca="1" si="25"/>
        <v/>
      </c>
      <c r="AL18" s="44">
        <f t="shared" si="26"/>
        <v>0</v>
      </c>
      <c r="AM18" s="44">
        <f t="shared" si="27"/>
        <v>11</v>
      </c>
      <c r="AN18" s="44" t="str">
        <f t="shared" ca="1" si="28"/>
        <v/>
      </c>
      <c r="AO18" s="44" t="str">
        <f t="shared" si="29"/>
        <v/>
      </c>
      <c r="AP18" s="44" t="str">
        <f t="shared" si="30"/>
        <v/>
      </c>
      <c r="AQ18" s="44" t="str">
        <f t="shared" ca="1" si="31"/>
        <v/>
      </c>
    </row>
    <row r="19" spans="1:43" ht="21.95" customHeight="1" x14ac:dyDescent="0.4">
      <c r="A19" s="167">
        <v>12</v>
      </c>
      <c r="B19" s="133"/>
      <c r="C19" s="133"/>
      <c r="D19" s="315"/>
      <c r="E19" s="329"/>
      <c r="F19" s="316"/>
      <c r="G19" s="175" t="str">
        <f>IF(AND($B19&lt;&gt;"",$C19=""),リスト!$Y$12,IF($U19&gt;0,リスト!$Y$11,IF(OR($S19&gt;0,$T19&gt;0),リスト!$Y$10,IF($V19&gt;0,リスト!$Y$13,IF($W19&gt;0,リスト!$Y$14,IF($X19&gt;0,リスト!$Y$15,""))))))</f>
        <v/>
      </c>
      <c r="H19" s="176" t="str">
        <f>IF($L19&lt;&gt;"",COUNTIF(エントリー!$V$8:$V$87,$K19),"")</f>
        <v/>
      </c>
      <c r="K19" s="44">
        <f t="shared" si="0"/>
        <v>12</v>
      </c>
      <c r="L19" s="44" t="str">
        <f t="shared" si="5"/>
        <v/>
      </c>
      <c r="M19" s="44" t="str">
        <f t="shared" si="6"/>
        <v/>
      </c>
      <c r="N19" s="44">
        <f t="shared" si="7"/>
        <v>12</v>
      </c>
      <c r="O19" s="44" t="str">
        <f t="shared" si="8"/>
        <v/>
      </c>
      <c r="P19" s="44" t="str">
        <f t="shared" si="9"/>
        <v/>
      </c>
      <c r="Q19" s="44" t="str">
        <f t="shared" si="10"/>
        <v/>
      </c>
      <c r="R19" s="44" t="str">
        <f>IF($Q19&lt;&gt;"",IFERROR(VLOOKUP(LEFT($Q19,3),'ISO3166-1'!$A$2:$B$250,2,FALSE),"不明("&amp;LEFT($Q19,3)&amp;")"),"")</f>
        <v/>
      </c>
      <c r="S19" s="44">
        <f t="shared" si="11"/>
        <v>0</v>
      </c>
      <c r="T19" s="44">
        <f t="shared" si="12"/>
        <v>0</v>
      </c>
      <c r="U19" s="44">
        <f t="shared" si="13"/>
        <v>0</v>
      </c>
      <c r="V19" s="44">
        <f t="shared" si="14"/>
        <v>0</v>
      </c>
      <c r="W19" s="44">
        <f t="shared" si="15"/>
        <v>0</v>
      </c>
      <c r="X19" s="44">
        <f t="shared" si="16"/>
        <v>0</v>
      </c>
      <c r="AA19" s="44" t="str">
        <f t="shared" ca="1" si="17"/>
        <v/>
      </c>
      <c r="AB19" s="44" t="str">
        <f t="shared" ca="1" si="18"/>
        <v/>
      </c>
      <c r="AC19" s="44" t="str">
        <f t="shared" ca="1" si="19"/>
        <v/>
      </c>
      <c r="AD19" s="44" t="str">
        <f t="shared" ca="1" si="20"/>
        <v/>
      </c>
      <c r="AE19" s="44" t="str">
        <f t="shared" ca="1" si="21"/>
        <v/>
      </c>
      <c r="AF19" s="44" t="str">
        <f t="shared" ca="1" si="22"/>
        <v/>
      </c>
      <c r="AG19" s="44" t="str">
        <f t="shared" ca="1" si="23"/>
        <v/>
      </c>
      <c r="AH19" s="335" t="str">
        <f t="shared" ca="1" si="24"/>
        <v/>
      </c>
      <c r="AI19" s="44" t="str">
        <f t="shared" ca="1" si="25"/>
        <v/>
      </c>
      <c r="AL19" s="44">
        <f t="shared" si="26"/>
        <v>0</v>
      </c>
      <c r="AM19" s="44">
        <f t="shared" si="27"/>
        <v>12</v>
      </c>
      <c r="AN19" s="44" t="str">
        <f t="shared" ca="1" si="28"/>
        <v/>
      </c>
      <c r="AO19" s="44" t="str">
        <f t="shared" si="29"/>
        <v/>
      </c>
      <c r="AP19" s="44" t="str">
        <f t="shared" si="30"/>
        <v/>
      </c>
      <c r="AQ19" s="44" t="str">
        <f t="shared" ca="1" si="31"/>
        <v/>
      </c>
    </row>
    <row r="20" spans="1:43" ht="21.95" customHeight="1" x14ac:dyDescent="0.4">
      <c r="A20" s="167">
        <v>13</v>
      </c>
      <c r="B20" s="133"/>
      <c r="C20" s="133"/>
      <c r="D20" s="315"/>
      <c r="E20" s="329"/>
      <c r="F20" s="316"/>
      <c r="G20" s="175" t="str">
        <f>IF(AND($B20&lt;&gt;"",$C20=""),リスト!$Y$12,IF($U20&gt;0,リスト!$Y$11,IF(OR($S20&gt;0,$T20&gt;0),リスト!$Y$10,IF($V20&gt;0,リスト!$Y$13,IF($W20&gt;0,リスト!$Y$14,IF($X20&gt;0,リスト!$Y$15,""))))))</f>
        <v/>
      </c>
      <c r="H20" s="176" t="str">
        <f>IF($L20&lt;&gt;"",COUNTIF(エントリー!$V$8:$V$87,$K20),"")</f>
        <v/>
      </c>
      <c r="K20" s="44">
        <f t="shared" si="0"/>
        <v>13</v>
      </c>
      <c r="L20" s="44" t="str">
        <f t="shared" si="5"/>
        <v/>
      </c>
      <c r="M20" s="44" t="str">
        <f t="shared" si="6"/>
        <v/>
      </c>
      <c r="N20" s="44">
        <f t="shared" si="7"/>
        <v>13</v>
      </c>
      <c r="O20" s="44" t="str">
        <f t="shared" si="8"/>
        <v/>
      </c>
      <c r="P20" s="44" t="str">
        <f t="shared" si="9"/>
        <v/>
      </c>
      <c r="Q20" s="44" t="str">
        <f t="shared" si="10"/>
        <v/>
      </c>
      <c r="R20" s="44" t="str">
        <f>IF($Q20&lt;&gt;"",IFERROR(VLOOKUP(LEFT($Q20,3),'ISO3166-1'!$A$2:$B$250,2,FALSE),"不明("&amp;LEFT($Q20,3)&amp;")"),"")</f>
        <v/>
      </c>
      <c r="S20" s="44">
        <f t="shared" si="11"/>
        <v>0</v>
      </c>
      <c r="T20" s="44">
        <f t="shared" si="12"/>
        <v>0</v>
      </c>
      <c r="U20" s="44">
        <f t="shared" si="13"/>
        <v>0</v>
      </c>
      <c r="V20" s="44">
        <f t="shared" si="14"/>
        <v>0</v>
      </c>
      <c r="W20" s="44">
        <f t="shared" si="15"/>
        <v>0</v>
      </c>
      <c r="X20" s="44">
        <f t="shared" si="16"/>
        <v>0</v>
      </c>
      <c r="AA20" s="44" t="str">
        <f t="shared" ca="1" si="17"/>
        <v/>
      </c>
      <c r="AB20" s="44" t="str">
        <f t="shared" ca="1" si="18"/>
        <v/>
      </c>
      <c r="AC20" s="44" t="str">
        <f t="shared" ca="1" si="19"/>
        <v/>
      </c>
      <c r="AD20" s="44" t="str">
        <f t="shared" ca="1" si="20"/>
        <v/>
      </c>
      <c r="AE20" s="44" t="str">
        <f t="shared" ca="1" si="21"/>
        <v/>
      </c>
      <c r="AF20" s="44" t="str">
        <f t="shared" ca="1" si="22"/>
        <v/>
      </c>
      <c r="AG20" s="44" t="str">
        <f t="shared" ca="1" si="23"/>
        <v/>
      </c>
      <c r="AH20" s="335" t="str">
        <f t="shared" ca="1" si="24"/>
        <v/>
      </c>
      <c r="AI20" s="44" t="str">
        <f t="shared" ca="1" si="25"/>
        <v/>
      </c>
      <c r="AL20" s="44">
        <f t="shared" si="26"/>
        <v>0</v>
      </c>
      <c r="AM20" s="44">
        <f t="shared" si="27"/>
        <v>13</v>
      </c>
      <c r="AN20" s="44" t="str">
        <f t="shared" ca="1" si="28"/>
        <v/>
      </c>
      <c r="AO20" s="44" t="str">
        <f t="shared" si="29"/>
        <v/>
      </c>
      <c r="AP20" s="44" t="str">
        <f t="shared" si="30"/>
        <v/>
      </c>
      <c r="AQ20" s="44" t="str">
        <f t="shared" ca="1" si="31"/>
        <v/>
      </c>
    </row>
    <row r="21" spans="1:43" ht="21.95" customHeight="1" x14ac:dyDescent="0.4">
      <c r="A21" s="167">
        <v>14</v>
      </c>
      <c r="B21" s="133"/>
      <c r="C21" s="133"/>
      <c r="D21" s="315"/>
      <c r="E21" s="329"/>
      <c r="F21" s="316"/>
      <c r="G21" s="175" t="str">
        <f>IF(AND($B21&lt;&gt;"",$C21=""),リスト!$Y$12,IF($U21&gt;0,リスト!$Y$11,IF(OR($S21&gt;0,$T21&gt;0),リスト!$Y$10,IF($V21&gt;0,リスト!$Y$13,IF($W21&gt;0,リスト!$Y$14,IF($X21&gt;0,リスト!$Y$15,""))))))</f>
        <v/>
      </c>
      <c r="H21" s="176" t="str">
        <f>IF($L21&lt;&gt;"",COUNTIF(エントリー!$V$8:$V$87,$K21),"")</f>
        <v/>
      </c>
      <c r="K21" s="44">
        <f t="shared" si="0"/>
        <v>14</v>
      </c>
      <c r="L21" s="44" t="str">
        <f t="shared" si="5"/>
        <v/>
      </c>
      <c r="M21" s="44" t="str">
        <f t="shared" si="6"/>
        <v/>
      </c>
      <c r="N21" s="44">
        <f t="shared" si="7"/>
        <v>14</v>
      </c>
      <c r="O21" s="44" t="str">
        <f t="shared" si="8"/>
        <v/>
      </c>
      <c r="P21" s="44" t="str">
        <f t="shared" si="9"/>
        <v/>
      </c>
      <c r="Q21" s="44" t="str">
        <f t="shared" si="10"/>
        <v/>
      </c>
      <c r="R21" s="44" t="str">
        <f>IF($Q21&lt;&gt;"",IFERROR(VLOOKUP(LEFT($Q21,3),'ISO3166-1'!$A$2:$B$250,2,FALSE),"不明("&amp;LEFT($Q21,3)&amp;")"),"")</f>
        <v/>
      </c>
      <c r="S21" s="44">
        <f t="shared" si="11"/>
        <v>0</v>
      </c>
      <c r="T21" s="44">
        <f t="shared" si="12"/>
        <v>0</v>
      </c>
      <c r="U21" s="44">
        <f t="shared" si="13"/>
        <v>0</v>
      </c>
      <c r="V21" s="44">
        <f t="shared" si="14"/>
        <v>0</v>
      </c>
      <c r="W21" s="44">
        <f t="shared" si="15"/>
        <v>0</v>
      </c>
      <c r="X21" s="44">
        <f t="shared" si="16"/>
        <v>0</v>
      </c>
      <c r="AA21" s="44" t="str">
        <f t="shared" ca="1" si="17"/>
        <v/>
      </c>
      <c r="AB21" s="44" t="str">
        <f t="shared" ca="1" si="18"/>
        <v/>
      </c>
      <c r="AC21" s="44" t="str">
        <f t="shared" ca="1" si="19"/>
        <v/>
      </c>
      <c r="AD21" s="44" t="str">
        <f t="shared" ca="1" si="20"/>
        <v/>
      </c>
      <c r="AE21" s="44" t="str">
        <f t="shared" ca="1" si="21"/>
        <v/>
      </c>
      <c r="AF21" s="44" t="str">
        <f t="shared" ca="1" si="22"/>
        <v/>
      </c>
      <c r="AG21" s="44" t="str">
        <f t="shared" ca="1" si="23"/>
        <v/>
      </c>
      <c r="AH21" s="335" t="str">
        <f t="shared" ca="1" si="24"/>
        <v/>
      </c>
      <c r="AI21" s="44" t="str">
        <f t="shared" ca="1" si="25"/>
        <v/>
      </c>
      <c r="AL21" s="44">
        <f t="shared" si="26"/>
        <v>0</v>
      </c>
      <c r="AM21" s="44">
        <f t="shared" si="27"/>
        <v>14</v>
      </c>
      <c r="AN21" s="44" t="str">
        <f t="shared" ca="1" si="28"/>
        <v/>
      </c>
      <c r="AO21" s="44" t="str">
        <f t="shared" si="29"/>
        <v/>
      </c>
      <c r="AP21" s="44" t="str">
        <f t="shared" si="30"/>
        <v/>
      </c>
      <c r="AQ21" s="44" t="str">
        <f t="shared" ca="1" si="31"/>
        <v/>
      </c>
    </row>
    <row r="22" spans="1:43" ht="21.95" customHeight="1" x14ac:dyDescent="0.4">
      <c r="A22" s="167">
        <v>15</v>
      </c>
      <c r="B22" s="133"/>
      <c r="C22" s="133"/>
      <c r="D22" s="315"/>
      <c r="E22" s="329"/>
      <c r="F22" s="316"/>
      <c r="G22" s="175" t="str">
        <f>IF(AND($B22&lt;&gt;"",$C22=""),リスト!$Y$12,IF($U22&gt;0,リスト!$Y$11,IF(OR($S22&gt;0,$T22&gt;0),リスト!$Y$10,IF($V22&gt;0,リスト!$Y$13,IF($W22&gt;0,リスト!$Y$14,IF($X22&gt;0,リスト!$Y$15,""))))))</f>
        <v/>
      </c>
      <c r="H22" s="176" t="str">
        <f>IF($L22&lt;&gt;"",COUNTIF(エントリー!$V$8:$V$87,$K22),"")</f>
        <v/>
      </c>
      <c r="K22" s="44">
        <f t="shared" si="0"/>
        <v>15</v>
      </c>
      <c r="L22" s="44" t="str">
        <f t="shared" si="5"/>
        <v/>
      </c>
      <c r="M22" s="44" t="str">
        <f t="shared" si="6"/>
        <v/>
      </c>
      <c r="N22" s="44">
        <f t="shared" si="7"/>
        <v>15</v>
      </c>
      <c r="O22" s="44" t="str">
        <f t="shared" si="8"/>
        <v/>
      </c>
      <c r="P22" s="44" t="str">
        <f t="shared" si="9"/>
        <v/>
      </c>
      <c r="Q22" s="44" t="str">
        <f t="shared" si="10"/>
        <v/>
      </c>
      <c r="R22" s="44" t="str">
        <f>IF($Q22&lt;&gt;"",IFERROR(VLOOKUP(LEFT($Q22,3),'ISO3166-1'!$A$2:$B$250,2,FALSE),"不明("&amp;LEFT($Q22,3)&amp;")"),"")</f>
        <v/>
      </c>
      <c r="S22" s="44">
        <f t="shared" si="11"/>
        <v>0</v>
      </c>
      <c r="T22" s="44">
        <f t="shared" si="12"/>
        <v>0</v>
      </c>
      <c r="U22" s="44">
        <f t="shared" si="13"/>
        <v>0</v>
      </c>
      <c r="V22" s="44">
        <f t="shared" si="14"/>
        <v>0</v>
      </c>
      <c r="W22" s="44">
        <f t="shared" si="15"/>
        <v>0</v>
      </c>
      <c r="X22" s="44">
        <f t="shared" si="16"/>
        <v>0</v>
      </c>
      <c r="AA22" s="44" t="str">
        <f t="shared" ca="1" si="17"/>
        <v/>
      </c>
      <c r="AB22" s="44" t="str">
        <f t="shared" ca="1" si="18"/>
        <v/>
      </c>
      <c r="AC22" s="44" t="str">
        <f t="shared" ca="1" si="19"/>
        <v/>
      </c>
      <c r="AD22" s="44" t="str">
        <f t="shared" ca="1" si="20"/>
        <v/>
      </c>
      <c r="AE22" s="44" t="str">
        <f t="shared" ca="1" si="21"/>
        <v/>
      </c>
      <c r="AF22" s="44" t="str">
        <f t="shared" ca="1" si="22"/>
        <v/>
      </c>
      <c r="AG22" s="44" t="str">
        <f t="shared" ca="1" si="23"/>
        <v/>
      </c>
      <c r="AH22" s="335" t="str">
        <f t="shared" ca="1" si="24"/>
        <v/>
      </c>
      <c r="AI22" s="44" t="str">
        <f t="shared" ca="1" si="25"/>
        <v/>
      </c>
      <c r="AL22" s="44">
        <f t="shared" si="26"/>
        <v>0</v>
      </c>
      <c r="AM22" s="44">
        <f t="shared" si="27"/>
        <v>15</v>
      </c>
      <c r="AN22" s="44" t="str">
        <f t="shared" ca="1" si="28"/>
        <v/>
      </c>
      <c r="AO22" s="44" t="str">
        <f t="shared" si="29"/>
        <v/>
      </c>
      <c r="AP22" s="44" t="str">
        <f t="shared" si="30"/>
        <v/>
      </c>
      <c r="AQ22" s="44" t="str">
        <f t="shared" ca="1" si="31"/>
        <v/>
      </c>
    </row>
    <row r="23" spans="1:43" ht="21.95" customHeight="1" x14ac:dyDescent="0.4">
      <c r="A23" s="167">
        <v>16</v>
      </c>
      <c r="B23" s="133"/>
      <c r="C23" s="133"/>
      <c r="D23" s="315"/>
      <c r="E23" s="329"/>
      <c r="F23" s="316"/>
      <c r="G23" s="175" t="str">
        <f>IF(AND($B23&lt;&gt;"",$C23=""),リスト!$Y$12,IF($U23&gt;0,リスト!$Y$11,IF(OR($S23&gt;0,$T23&gt;0),リスト!$Y$10,IF($V23&gt;0,リスト!$Y$13,IF($W23&gt;0,リスト!$Y$14,IF($X23&gt;0,リスト!$Y$15,""))))))</f>
        <v/>
      </c>
      <c r="H23" s="176" t="str">
        <f>IF($L23&lt;&gt;"",COUNTIF(エントリー!$V$8:$V$87,$K23),"")</f>
        <v/>
      </c>
      <c r="K23" s="44">
        <f t="shared" si="0"/>
        <v>16</v>
      </c>
      <c r="L23" s="44" t="str">
        <f t="shared" si="5"/>
        <v/>
      </c>
      <c r="M23" s="44" t="str">
        <f t="shared" si="6"/>
        <v/>
      </c>
      <c r="N23" s="44">
        <f t="shared" si="7"/>
        <v>16</v>
      </c>
      <c r="O23" s="44" t="str">
        <f t="shared" si="8"/>
        <v/>
      </c>
      <c r="P23" s="44" t="str">
        <f t="shared" si="9"/>
        <v/>
      </c>
      <c r="Q23" s="44" t="str">
        <f t="shared" si="10"/>
        <v/>
      </c>
      <c r="R23" s="44" t="str">
        <f>IF($Q23&lt;&gt;"",IFERROR(VLOOKUP(LEFT($Q23,3),'ISO3166-1'!$A$2:$B$250,2,FALSE),"不明("&amp;LEFT($Q23,3)&amp;")"),"")</f>
        <v/>
      </c>
      <c r="S23" s="44">
        <f t="shared" si="11"/>
        <v>0</v>
      </c>
      <c r="T23" s="44">
        <f t="shared" si="12"/>
        <v>0</v>
      </c>
      <c r="U23" s="44">
        <f t="shared" si="13"/>
        <v>0</v>
      </c>
      <c r="V23" s="44">
        <f t="shared" si="14"/>
        <v>0</v>
      </c>
      <c r="W23" s="44">
        <f t="shared" si="15"/>
        <v>0</v>
      </c>
      <c r="X23" s="44">
        <f t="shared" si="16"/>
        <v>0</v>
      </c>
      <c r="AA23" s="44" t="str">
        <f t="shared" ca="1" si="17"/>
        <v/>
      </c>
      <c r="AB23" s="44" t="str">
        <f t="shared" ca="1" si="18"/>
        <v/>
      </c>
      <c r="AC23" s="44" t="str">
        <f t="shared" ca="1" si="19"/>
        <v/>
      </c>
      <c r="AD23" s="44" t="str">
        <f t="shared" ca="1" si="20"/>
        <v/>
      </c>
      <c r="AE23" s="44" t="str">
        <f t="shared" ca="1" si="21"/>
        <v/>
      </c>
      <c r="AF23" s="44" t="str">
        <f t="shared" ca="1" si="22"/>
        <v/>
      </c>
      <c r="AG23" s="44" t="str">
        <f t="shared" ca="1" si="23"/>
        <v/>
      </c>
      <c r="AH23" s="335" t="str">
        <f t="shared" ca="1" si="24"/>
        <v/>
      </c>
      <c r="AI23" s="44" t="str">
        <f t="shared" ca="1" si="25"/>
        <v/>
      </c>
      <c r="AL23" s="44">
        <f t="shared" si="26"/>
        <v>0</v>
      </c>
      <c r="AM23" s="44">
        <f t="shared" si="27"/>
        <v>16</v>
      </c>
      <c r="AN23" s="44" t="str">
        <f t="shared" ca="1" si="28"/>
        <v/>
      </c>
      <c r="AO23" s="44" t="str">
        <f t="shared" si="29"/>
        <v/>
      </c>
      <c r="AP23" s="44" t="str">
        <f t="shared" si="30"/>
        <v/>
      </c>
      <c r="AQ23" s="44" t="str">
        <f t="shared" ca="1" si="31"/>
        <v/>
      </c>
    </row>
    <row r="24" spans="1:43" ht="21.95" customHeight="1" x14ac:dyDescent="0.4">
      <c r="A24" s="167">
        <v>17</v>
      </c>
      <c r="B24" s="133"/>
      <c r="C24" s="133"/>
      <c r="D24" s="315"/>
      <c r="E24" s="329"/>
      <c r="F24" s="316"/>
      <c r="G24" s="175" t="str">
        <f>IF(AND($B24&lt;&gt;"",$C24=""),リスト!$Y$12,IF($U24&gt;0,リスト!$Y$11,IF(OR($S24&gt;0,$T24&gt;0),リスト!$Y$10,IF($V24&gt;0,リスト!$Y$13,IF($W24&gt;0,リスト!$Y$14,IF($X24&gt;0,リスト!$Y$15,""))))))</f>
        <v/>
      </c>
      <c r="H24" s="176" t="str">
        <f>IF($L24&lt;&gt;"",COUNTIF(エントリー!$V$8:$V$87,$K24),"")</f>
        <v/>
      </c>
      <c r="K24" s="44">
        <f t="shared" si="0"/>
        <v>17</v>
      </c>
      <c r="L24" s="44" t="str">
        <f t="shared" si="5"/>
        <v/>
      </c>
      <c r="M24" s="44" t="str">
        <f t="shared" si="6"/>
        <v/>
      </c>
      <c r="N24" s="44">
        <f t="shared" si="7"/>
        <v>17</v>
      </c>
      <c r="O24" s="44" t="str">
        <f t="shared" si="8"/>
        <v/>
      </c>
      <c r="P24" s="44" t="str">
        <f t="shared" si="9"/>
        <v/>
      </c>
      <c r="Q24" s="44" t="str">
        <f t="shared" si="10"/>
        <v/>
      </c>
      <c r="R24" s="44" t="str">
        <f>IF($Q24&lt;&gt;"",IFERROR(VLOOKUP(LEFT($Q24,3),'ISO3166-1'!$A$2:$B$250,2,FALSE),"不明("&amp;LEFT($Q24,3)&amp;")"),"")</f>
        <v/>
      </c>
      <c r="S24" s="44">
        <f t="shared" si="11"/>
        <v>0</v>
      </c>
      <c r="T24" s="44">
        <f t="shared" si="12"/>
        <v>0</v>
      </c>
      <c r="U24" s="44">
        <f t="shared" si="13"/>
        <v>0</v>
      </c>
      <c r="V24" s="44">
        <f t="shared" si="14"/>
        <v>0</v>
      </c>
      <c r="W24" s="44">
        <f t="shared" si="15"/>
        <v>0</v>
      </c>
      <c r="X24" s="44">
        <f t="shared" si="16"/>
        <v>0</v>
      </c>
      <c r="AA24" s="44" t="str">
        <f t="shared" ca="1" si="17"/>
        <v/>
      </c>
      <c r="AB24" s="44" t="str">
        <f t="shared" ca="1" si="18"/>
        <v/>
      </c>
      <c r="AC24" s="44" t="str">
        <f t="shared" ca="1" si="19"/>
        <v/>
      </c>
      <c r="AD24" s="44" t="str">
        <f t="shared" ca="1" si="20"/>
        <v/>
      </c>
      <c r="AE24" s="44" t="str">
        <f t="shared" ca="1" si="21"/>
        <v/>
      </c>
      <c r="AF24" s="44" t="str">
        <f t="shared" ca="1" si="22"/>
        <v/>
      </c>
      <c r="AG24" s="44" t="str">
        <f t="shared" ca="1" si="23"/>
        <v/>
      </c>
      <c r="AH24" s="335" t="str">
        <f t="shared" ca="1" si="24"/>
        <v/>
      </c>
      <c r="AI24" s="44" t="str">
        <f t="shared" ca="1" si="25"/>
        <v/>
      </c>
      <c r="AL24" s="44">
        <f t="shared" si="26"/>
        <v>0</v>
      </c>
      <c r="AM24" s="44">
        <f t="shared" si="27"/>
        <v>17</v>
      </c>
      <c r="AN24" s="44" t="str">
        <f t="shared" ca="1" si="28"/>
        <v/>
      </c>
      <c r="AO24" s="44" t="str">
        <f t="shared" si="29"/>
        <v/>
      </c>
      <c r="AP24" s="44" t="str">
        <f t="shared" si="30"/>
        <v/>
      </c>
      <c r="AQ24" s="44" t="str">
        <f t="shared" ca="1" si="31"/>
        <v/>
      </c>
    </row>
    <row r="25" spans="1:43" ht="21.95" customHeight="1" x14ac:dyDescent="0.4">
      <c r="A25" s="167">
        <v>18</v>
      </c>
      <c r="B25" s="133"/>
      <c r="C25" s="133"/>
      <c r="D25" s="315"/>
      <c r="E25" s="329"/>
      <c r="F25" s="316"/>
      <c r="G25" s="175" t="str">
        <f>IF(AND($B25&lt;&gt;"",$C25=""),リスト!$Y$12,IF($U25&gt;0,リスト!$Y$11,IF(OR($S25&gt;0,$T25&gt;0),リスト!$Y$10,IF($V25&gt;0,リスト!$Y$13,IF($W25&gt;0,リスト!$Y$14,IF($X25&gt;0,リスト!$Y$15,""))))))</f>
        <v/>
      </c>
      <c r="H25" s="176" t="str">
        <f>IF($L25&lt;&gt;"",COUNTIF(エントリー!$V$8:$V$87,$K25),"")</f>
        <v/>
      </c>
      <c r="K25" s="44">
        <f t="shared" si="0"/>
        <v>18</v>
      </c>
      <c r="L25" s="44" t="str">
        <f t="shared" si="5"/>
        <v/>
      </c>
      <c r="M25" s="44" t="str">
        <f t="shared" si="6"/>
        <v/>
      </c>
      <c r="N25" s="44">
        <f t="shared" si="7"/>
        <v>18</v>
      </c>
      <c r="O25" s="44" t="str">
        <f t="shared" si="8"/>
        <v/>
      </c>
      <c r="P25" s="44" t="str">
        <f t="shared" si="9"/>
        <v/>
      </c>
      <c r="Q25" s="44" t="str">
        <f t="shared" si="10"/>
        <v/>
      </c>
      <c r="R25" s="44" t="str">
        <f>IF($Q25&lt;&gt;"",IFERROR(VLOOKUP(LEFT($Q25,3),'ISO3166-1'!$A$2:$B$250,2,FALSE),"不明("&amp;LEFT($Q25,3)&amp;")"),"")</f>
        <v/>
      </c>
      <c r="S25" s="44">
        <f t="shared" si="11"/>
        <v>0</v>
      </c>
      <c r="T25" s="44">
        <f t="shared" si="12"/>
        <v>0</v>
      </c>
      <c r="U25" s="44">
        <f t="shared" si="13"/>
        <v>0</v>
      </c>
      <c r="V25" s="44">
        <f t="shared" si="14"/>
        <v>0</v>
      </c>
      <c r="W25" s="44">
        <f t="shared" si="15"/>
        <v>0</v>
      </c>
      <c r="X25" s="44">
        <f t="shared" si="16"/>
        <v>0</v>
      </c>
      <c r="AA25" s="44" t="str">
        <f t="shared" ca="1" si="17"/>
        <v/>
      </c>
      <c r="AB25" s="44" t="str">
        <f t="shared" ca="1" si="18"/>
        <v/>
      </c>
      <c r="AC25" s="44" t="str">
        <f t="shared" ca="1" si="19"/>
        <v/>
      </c>
      <c r="AD25" s="44" t="str">
        <f t="shared" ca="1" si="20"/>
        <v/>
      </c>
      <c r="AE25" s="44" t="str">
        <f t="shared" ca="1" si="21"/>
        <v/>
      </c>
      <c r="AF25" s="44" t="str">
        <f t="shared" ca="1" si="22"/>
        <v/>
      </c>
      <c r="AG25" s="44" t="str">
        <f t="shared" ca="1" si="23"/>
        <v/>
      </c>
      <c r="AH25" s="335" t="str">
        <f t="shared" ca="1" si="24"/>
        <v/>
      </c>
      <c r="AI25" s="44" t="str">
        <f t="shared" ca="1" si="25"/>
        <v/>
      </c>
      <c r="AL25" s="44">
        <f t="shared" si="26"/>
        <v>0</v>
      </c>
      <c r="AM25" s="44">
        <f t="shared" si="27"/>
        <v>18</v>
      </c>
      <c r="AN25" s="44" t="str">
        <f t="shared" ca="1" si="28"/>
        <v/>
      </c>
      <c r="AO25" s="44" t="str">
        <f t="shared" si="29"/>
        <v/>
      </c>
      <c r="AP25" s="44" t="str">
        <f t="shared" si="30"/>
        <v/>
      </c>
      <c r="AQ25" s="44" t="str">
        <f t="shared" ca="1" si="31"/>
        <v/>
      </c>
    </row>
    <row r="26" spans="1:43" ht="21.95" customHeight="1" x14ac:dyDescent="0.4">
      <c r="A26" s="167">
        <v>19</v>
      </c>
      <c r="B26" s="133"/>
      <c r="C26" s="133"/>
      <c r="D26" s="315"/>
      <c r="E26" s="329"/>
      <c r="F26" s="316"/>
      <c r="G26" s="175" t="str">
        <f>IF(AND($B26&lt;&gt;"",$C26=""),リスト!$Y$12,IF($U26&gt;0,リスト!$Y$11,IF(OR($S26&gt;0,$T26&gt;0),リスト!$Y$10,IF($V26&gt;0,リスト!$Y$13,IF($W26&gt;0,リスト!$Y$14,IF($X26&gt;0,リスト!$Y$15,""))))))</f>
        <v/>
      </c>
      <c r="H26" s="176" t="str">
        <f>IF($L26&lt;&gt;"",COUNTIF(エントリー!$V$8:$V$87,$K26),"")</f>
        <v/>
      </c>
      <c r="K26" s="44">
        <f t="shared" si="0"/>
        <v>19</v>
      </c>
      <c r="L26" s="44" t="str">
        <f t="shared" si="5"/>
        <v/>
      </c>
      <c r="M26" s="44" t="str">
        <f t="shared" si="6"/>
        <v/>
      </c>
      <c r="N26" s="44">
        <f t="shared" si="7"/>
        <v>19</v>
      </c>
      <c r="O26" s="44" t="str">
        <f t="shared" si="8"/>
        <v/>
      </c>
      <c r="P26" s="44" t="str">
        <f t="shared" si="9"/>
        <v/>
      </c>
      <c r="Q26" s="44" t="str">
        <f t="shared" si="10"/>
        <v/>
      </c>
      <c r="R26" s="44" t="str">
        <f>IF($Q26&lt;&gt;"",IFERROR(VLOOKUP(LEFT($Q26,3),'ISO3166-1'!$A$2:$B$250,2,FALSE),"不明("&amp;LEFT($Q26,3)&amp;")"),"")</f>
        <v/>
      </c>
      <c r="S26" s="44">
        <f t="shared" si="11"/>
        <v>0</v>
      </c>
      <c r="T26" s="44">
        <f t="shared" si="12"/>
        <v>0</v>
      </c>
      <c r="U26" s="44">
        <f t="shared" si="13"/>
        <v>0</v>
      </c>
      <c r="V26" s="44">
        <f t="shared" si="14"/>
        <v>0</v>
      </c>
      <c r="W26" s="44">
        <f t="shared" si="15"/>
        <v>0</v>
      </c>
      <c r="X26" s="44">
        <f t="shared" si="16"/>
        <v>0</v>
      </c>
      <c r="AA26" s="44" t="str">
        <f t="shared" ca="1" si="17"/>
        <v/>
      </c>
      <c r="AB26" s="44" t="str">
        <f t="shared" ca="1" si="18"/>
        <v/>
      </c>
      <c r="AC26" s="44" t="str">
        <f t="shared" ca="1" si="19"/>
        <v/>
      </c>
      <c r="AD26" s="44" t="str">
        <f t="shared" ca="1" si="20"/>
        <v/>
      </c>
      <c r="AE26" s="44" t="str">
        <f t="shared" ca="1" si="21"/>
        <v/>
      </c>
      <c r="AF26" s="44" t="str">
        <f t="shared" ca="1" si="22"/>
        <v/>
      </c>
      <c r="AG26" s="44" t="str">
        <f t="shared" ca="1" si="23"/>
        <v/>
      </c>
      <c r="AH26" s="335" t="str">
        <f t="shared" ca="1" si="24"/>
        <v/>
      </c>
      <c r="AI26" s="44" t="str">
        <f t="shared" ca="1" si="25"/>
        <v/>
      </c>
      <c r="AL26" s="44">
        <f t="shared" si="26"/>
        <v>0</v>
      </c>
      <c r="AM26" s="44">
        <f t="shared" si="27"/>
        <v>19</v>
      </c>
      <c r="AN26" s="44" t="str">
        <f t="shared" ca="1" si="28"/>
        <v/>
      </c>
      <c r="AO26" s="44" t="str">
        <f t="shared" si="29"/>
        <v/>
      </c>
      <c r="AP26" s="44" t="str">
        <f t="shared" si="30"/>
        <v/>
      </c>
      <c r="AQ26" s="44" t="str">
        <f t="shared" ca="1" si="31"/>
        <v/>
      </c>
    </row>
    <row r="27" spans="1:43" ht="21.95" customHeight="1" x14ac:dyDescent="0.4">
      <c r="A27" s="167">
        <v>20</v>
      </c>
      <c r="B27" s="133"/>
      <c r="C27" s="133"/>
      <c r="D27" s="315"/>
      <c r="E27" s="329"/>
      <c r="F27" s="316"/>
      <c r="G27" s="175" t="str">
        <f>IF(AND($B27&lt;&gt;"",$C27=""),リスト!$Y$12,IF($U27&gt;0,リスト!$Y$11,IF(OR($S27&gt;0,$T27&gt;0),リスト!$Y$10,IF($V27&gt;0,リスト!$Y$13,IF($W27&gt;0,リスト!$Y$14,IF($X27&gt;0,リスト!$Y$15,""))))))</f>
        <v/>
      </c>
      <c r="H27" s="176" t="str">
        <f>IF($L27&lt;&gt;"",COUNTIF(エントリー!$V$8:$V$87,$K27),"")</f>
        <v/>
      </c>
      <c r="K27" s="44">
        <f t="shared" si="0"/>
        <v>20</v>
      </c>
      <c r="L27" s="44" t="str">
        <f t="shared" si="5"/>
        <v/>
      </c>
      <c r="M27" s="44" t="str">
        <f t="shared" si="6"/>
        <v/>
      </c>
      <c r="N27" s="44">
        <f t="shared" si="7"/>
        <v>20</v>
      </c>
      <c r="O27" s="44" t="str">
        <f t="shared" si="8"/>
        <v/>
      </c>
      <c r="P27" s="44" t="str">
        <f t="shared" si="9"/>
        <v/>
      </c>
      <c r="Q27" s="44" t="str">
        <f t="shared" si="10"/>
        <v/>
      </c>
      <c r="R27" s="44" t="str">
        <f>IF($Q27&lt;&gt;"",IFERROR(VLOOKUP(LEFT($Q27,3),'ISO3166-1'!$A$2:$B$250,2,FALSE),"不明("&amp;LEFT($Q27,3)&amp;")"),"")</f>
        <v/>
      </c>
      <c r="S27" s="44">
        <f t="shared" si="11"/>
        <v>0</v>
      </c>
      <c r="T27" s="44">
        <f t="shared" si="12"/>
        <v>0</v>
      </c>
      <c r="U27" s="44">
        <f t="shared" si="13"/>
        <v>0</v>
      </c>
      <c r="V27" s="44">
        <f t="shared" si="14"/>
        <v>0</v>
      </c>
      <c r="W27" s="44">
        <f t="shared" si="15"/>
        <v>0</v>
      </c>
      <c r="X27" s="44">
        <f t="shared" si="16"/>
        <v>0</v>
      </c>
      <c r="AA27" s="44" t="str">
        <f t="shared" ca="1" si="17"/>
        <v/>
      </c>
      <c r="AB27" s="44" t="str">
        <f t="shared" ca="1" si="18"/>
        <v/>
      </c>
      <c r="AC27" s="44" t="str">
        <f t="shared" ca="1" si="19"/>
        <v/>
      </c>
      <c r="AD27" s="44" t="str">
        <f t="shared" ca="1" si="20"/>
        <v/>
      </c>
      <c r="AE27" s="44" t="str">
        <f t="shared" ca="1" si="21"/>
        <v/>
      </c>
      <c r="AF27" s="44" t="str">
        <f t="shared" ca="1" si="22"/>
        <v/>
      </c>
      <c r="AG27" s="44" t="str">
        <f t="shared" ca="1" si="23"/>
        <v/>
      </c>
      <c r="AH27" s="335" t="str">
        <f t="shared" ca="1" si="24"/>
        <v/>
      </c>
      <c r="AI27" s="44" t="str">
        <f t="shared" ca="1" si="25"/>
        <v/>
      </c>
      <c r="AL27" s="44">
        <f t="shared" si="26"/>
        <v>0</v>
      </c>
      <c r="AM27" s="44">
        <f t="shared" si="27"/>
        <v>20</v>
      </c>
      <c r="AN27" s="44" t="str">
        <f t="shared" ca="1" si="28"/>
        <v/>
      </c>
      <c r="AO27" s="44" t="str">
        <f t="shared" si="29"/>
        <v/>
      </c>
      <c r="AP27" s="44" t="str">
        <f t="shared" si="30"/>
        <v/>
      </c>
      <c r="AQ27" s="44" t="str">
        <f t="shared" ca="1" si="31"/>
        <v/>
      </c>
    </row>
    <row r="28" spans="1:43" ht="21.95" customHeight="1" x14ac:dyDescent="0.4">
      <c r="A28" s="167">
        <v>21</v>
      </c>
      <c r="B28" s="133"/>
      <c r="C28" s="133"/>
      <c r="D28" s="315"/>
      <c r="E28" s="329"/>
      <c r="F28" s="316"/>
      <c r="G28" s="175" t="str">
        <f>IF(AND($B28&lt;&gt;"",$C28=""),リスト!$Y$12,IF($U28&gt;0,リスト!$Y$11,IF(OR($S28&gt;0,$T28&gt;0),リスト!$Y$10,IF($V28&gt;0,リスト!$Y$13,IF($W28&gt;0,リスト!$Y$14,IF($X28&gt;0,リスト!$Y$15,""))))))</f>
        <v/>
      </c>
      <c r="H28" s="176" t="str">
        <f>IF($L28&lt;&gt;"",COUNTIF(エントリー!$V$8:$V$87,$K28),"")</f>
        <v/>
      </c>
      <c r="K28" s="44">
        <f t="shared" si="0"/>
        <v>21</v>
      </c>
      <c r="L28" s="44" t="str">
        <f t="shared" si="5"/>
        <v/>
      </c>
      <c r="M28" s="44" t="str">
        <f t="shared" si="6"/>
        <v/>
      </c>
      <c r="N28" s="44">
        <f t="shared" si="7"/>
        <v>21</v>
      </c>
      <c r="O28" s="44" t="str">
        <f t="shared" si="8"/>
        <v/>
      </c>
      <c r="P28" s="44" t="str">
        <f t="shared" si="9"/>
        <v/>
      </c>
      <c r="Q28" s="44" t="str">
        <f t="shared" si="10"/>
        <v/>
      </c>
      <c r="R28" s="44" t="str">
        <f>IF($Q28&lt;&gt;"",IFERROR(VLOOKUP(LEFT($Q28,3),'ISO3166-1'!$A$2:$B$250,2,FALSE),"不明("&amp;LEFT($Q28,3)&amp;")"),"")</f>
        <v/>
      </c>
      <c r="S28" s="44">
        <f t="shared" si="11"/>
        <v>0</v>
      </c>
      <c r="T28" s="44">
        <f t="shared" si="12"/>
        <v>0</v>
      </c>
      <c r="U28" s="44">
        <f t="shared" si="13"/>
        <v>0</v>
      </c>
      <c r="V28" s="44">
        <f t="shared" si="14"/>
        <v>0</v>
      </c>
      <c r="W28" s="44">
        <f t="shared" si="15"/>
        <v>0</v>
      </c>
      <c r="X28" s="44">
        <f t="shared" si="16"/>
        <v>0</v>
      </c>
      <c r="AA28" s="44" t="str">
        <f t="shared" ca="1" si="17"/>
        <v/>
      </c>
      <c r="AB28" s="44" t="str">
        <f t="shared" ca="1" si="18"/>
        <v/>
      </c>
      <c r="AC28" s="44" t="str">
        <f t="shared" ca="1" si="19"/>
        <v/>
      </c>
      <c r="AD28" s="44" t="str">
        <f t="shared" ca="1" si="20"/>
        <v/>
      </c>
      <c r="AE28" s="44" t="str">
        <f t="shared" ca="1" si="21"/>
        <v/>
      </c>
      <c r="AF28" s="44" t="str">
        <f t="shared" ca="1" si="22"/>
        <v/>
      </c>
      <c r="AG28" s="44" t="str">
        <f t="shared" ca="1" si="23"/>
        <v/>
      </c>
      <c r="AH28" s="335" t="str">
        <f t="shared" ca="1" si="24"/>
        <v/>
      </c>
      <c r="AI28" s="44" t="str">
        <f t="shared" ca="1" si="25"/>
        <v/>
      </c>
      <c r="AL28" s="44">
        <f t="shared" si="26"/>
        <v>0</v>
      </c>
      <c r="AM28" s="44">
        <f t="shared" si="27"/>
        <v>21</v>
      </c>
      <c r="AN28" s="44" t="str">
        <f t="shared" ca="1" si="28"/>
        <v/>
      </c>
      <c r="AO28" s="44" t="str">
        <f t="shared" si="29"/>
        <v/>
      </c>
      <c r="AP28" s="44" t="str">
        <f t="shared" si="30"/>
        <v/>
      </c>
      <c r="AQ28" s="44" t="str">
        <f t="shared" ca="1" si="31"/>
        <v/>
      </c>
    </row>
    <row r="29" spans="1:43" ht="21.95" customHeight="1" x14ac:dyDescent="0.4">
      <c r="A29" s="167">
        <v>22</v>
      </c>
      <c r="B29" s="133"/>
      <c r="C29" s="133"/>
      <c r="D29" s="315"/>
      <c r="E29" s="329"/>
      <c r="F29" s="316"/>
      <c r="G29" s="175" t="str">
        <f>IF(AND($B29&lt;&gt;"",$C29=""),リスト!$Y$12,IF($U29&gt;0,リスト!$Y$11,IF(OR($S29&gt;0,$T29&gt;0),リスト!$Y$10,IF($V29&gt;0,リスト!$Y$13,IF($W29&gt;0,リスト!$Y$14,IF($X29&gt;0,リスト!$Y$15,""))))))</f>
        <v/>
      </c>
      <c r="H29" s="176" t="str">
        <f>IF($L29&lt;&gt;"",COUNTIF(エントリー!$V$8:$V$87,$K29),"")</f>
        <v/>
      </c>
      <c r="K29" s="44">
        <f t="shared" si="0"/>
        <v>22</v>
      </c>
      <c r="L29" s="44" t="str">
        <f t="shared" si="5"/>
        <v/>
      </c>
      <c r="M29" s="44" t="str">
        <f t="shared" si="6"/>
        <v/>
      </c>
      <c r="N29" s="44">
        <f t="shared" si="7"/>
        <v>22</v>
      </c>
      <c r="O29" s="44" t="str">
        <f t="shared" si="8"/>
        <v/>
      </c>
      <c r="P29" s="44" t="str">
        <f t="shared" si="9"/>
        <v/>
      </c>
      <c r="Q29" s="44" t="str">
        <f t="shared" si="10"/>
        <v/>
      </c>
      <c r="R29" s="44" t="str">
        <f>IF($Q29&lt;&gt;"",IFERROR(VLOOKUP(LEFT($Q29,3),'ISO3166-1'!$A$2:$B$250,2,FALSE),"不明("&amp;LEFT($Q29,3)&amp;")"),"")</f>
        <v/>
      </c>
      <c r="S29" s="44">
        <f t="shared" si="11"/>
        <v>0</v>
      </c>
      <c r="T29" s="44">
        <f t="shared" si="12"/>
        <v>0</v>
      </c>
      <c r="U29" s="44">
        <f t="shared" si="13"/>
        <v>0</v>
      </c>
      <c r="V29" s="44">
        <f t="shared" si="14"/>
        <v>0</v>
      </c>
      <c r="W29" s="44">
        <f t="shared" si="15"/>
        <v>0</v>
      </c>
      <c r="X29" s="44">
        <f t="shared" si="16"/>
        <v>0</v>
      </c>
      <c r="AA29" s="44" t="str">
        <f t="shared" ca="1" si="17"/>
        <v/>
      </c>
      <c r="AB29" s="44" t="str">
        <f t="shared" ca="1" si="18"/>
        <v/>
      </c>
      <c r="AC29" s="44" t="str">
        <f t="shared" ca="1" si="19"/>
        <v/>
      </c>
      <c r="AD29" s="44" t="str">
        <f t="shared" ca="1" si="20"/>
        <v/>
      </c>
      <c r="AE29" s="44" t="str">
        <f t="shared" ca="1" si="21"/>
        <v/>
      </c>
      <c r="AF29" s="44" t="str">
        <f t="shared" ca="1" si="22"/>
        <v/>
      </c>
      <c r="AG29" s="44" t="str">
        <f t="shared" ca="1" si="23"/>
        <v/>
      </c>
      <c r="AH29" s="335" t="str">
        <f t="shared" ca="1" si="24"/>
        <v/>
      </c>
      <c r="AI29" s="44" t="str">
        <f t="shared" ca="1" si="25"/>
        <v/>
      </c>
      <c r="AL29" s="44">
        <f t="shared" si="26"/>
        <v>0</v>
      </c>
      <c r="AM29" s="44">
        <f t="shared" si="27"/>
        <v>22</v>
      </c>
      <c r="AN29" s="44" t="str">
        <f t="shared" ca="1" si="28"/>
        <v/>
      </c>
      <c r="AO29" s="44" t="str">
        <f t="shared" si="29"/>
        <v/>
      </c>
      <c r="AP29" s="44" t="str">
        <f t="shared" si="30"/>
        <v/>
      </c>
      <c r="AQ29" s="44" t="str">
        <f t="shared" ca="1" si="31"/>
        <v/>
      </c>
    </row>
    <row r="30" spans="1:43" ht="21.95" customHeight="1" x14ac:dyDescent="0.4">
      <c r="A30" s="167">
        <v>23</v>
      </c>
      <c r="B30" s="133"/>
      <c r="C30" s="133"/>
      <c r="D30" s="315"/>
      <c r="E30" s="329"/>
      <c r="F30" s="316"/>
      <c r="G30" s="175" t="str">
        <f>IF(AND($B30&lt;&gt;"",$C30=""),リスト!$Y$12,IF($U30&gt;0,リスト!$Y$11,IF(OR($S30&gt;0,$T30&gt;0),リスト!$Y$10,IF($V30&gt;0,リスト!$Y$13,IF($W30&gt;0,リスト!$Y$14,IF($X30&gt;0,リスト!$Y$15,""))))))</f>
        <v/>
      </c>
      <c r="H30" s="176" t="str">
        <f>IF($L30&lt;&gt;"",COUNTIF(エントリー!$V$8:$V$87,$K30),"")</f>
        <v/>
      </c>
      <c r="K30" s="44">
        <f t="shared" si="0"/>
        <v>23</v>
      </c>
      <c r="L30" s="44" t="str">
        <f t="shared" si="5"/>
        <v/>
      </c>
      <c r="M30" s="44" t="str">
        <f t="shared" si="6"/>
        <v/>
      </c>
      <c r="N30" s="44">
        <f t="shared" si="7"/>
        <v>23</v>
      </c>
      <c r="O30" s="44" t="str">
        <f t="shared" si="8"/>
        <v/>
      </c>
      <c r="P30" s="44" t="str">
        <f t="shared" si="9"/>
        <v/>
      </c>
      <c r="Q30" s="44" t="str">
        <f t="shared" si="10"/>
        <v/>
      </c>
      <c r="R30" s="44" t="str">
        <f>IF($Q30&lt;&gt;"",IFERROR(VLOOKUP(LEFT($Q30,3),'ISO3166-1'!$A$2:$B$250,2,FALSE),"不明("&amp;LEFT($Q30,3)&amp;")"),"")</f>
        <v/>
      </c>
      <c r="S30" s="44">
        <f t="shared" si="11"/>
        <v>0</v>
      </c>
      <c r="T30" s="44">
        <f t="shared" si="12"/>
        <v>0</v>
      </c>
      <c r="U30" s="44">
        <f t="shared" si="13"/>
        <v>0</v>
      </c>
      <c r="V30" s="44">
        <f t="shared" si="14"/>
        <v>0</v>
      </c>
      <c r="W30" s="44">
        <f t="shared" si="15"/>
        <v>0</v>
      </c>
      <c r="X30" s="44">
        <f t="shared" si="16"/>
        <v>0</v>
      </c>
      <c r="AA30" s="44" t="str">
        <f t="shared" ca="1" si="17"/>
        <v/>
      </c>
      <c r="AB30" s="44" t="str">
        <f t="shared" ca="1" si="18"/>
        <v/>
      </c>
      <c r="AC30" s="44" t="str">
        <f t="shared" ca="1" si="19"/>
        <v/>
      </c>
      <c r="AD30" s="44" t="str">
        <f t="shared" ca="1" si="20"/>
        <v/>
      </c>
      <c r="AE30" s="44" t="str">
        <f t="shared" ca="1" si="21"/>
        <v/>
      </c>
      <c r="AF30" s="44" t="str">
        <f t="shared" ca="1" si="22"/>
        <v/>
      </c>
      <c r="AG30" s="44" t="str">
        <f t="shared" ca="1" si="23"/>
        <v/>
      </c>
      <c r="AH30" s="335" t="str">
        <f t="shared" ca="1" si="24"/>
        <v/>
      </c>
      <c r="AI30" s="44" t="str">
        <f t="shared" ca="1" si="25"/>
        <v/>
      </c>
      <c r="AL30" s="44">
        <f t="shared" si="26"/>
        <v>0</v>
      </c>
      <c r="AM30" s="44">
        <f t="shared" si="27"/>
        <v>23</v>
      </c>
      <c r="AN30" s="44" t="str">
        <f t="shared" ca="1" si="28"/>
        <v/>
      </c>
      <c r="AO30" s="44" t="str">
        <f t="shared" si="29"/>
        <v/>
      </c>
      <c r="AP30" s="44" t="str">
        <f t="shared" si="30"/>
        <v/>
      </c>
      <c r="AQ30" s="44" t="str">
        <f t="shared" ca="1" si="31"/>
        <v/>
      </c>
    </row>
    <row r="31" spans="1:43" x14ac:dyDescent="0.4">
      <c r="A31" s="167">
        <v>24</v>
      </c>
      <c r="B31" s="133"/>
      <c r="C31" s="133"/>
      <c r="D31" s="315"/>
      <c r="E31" s="329"/>
      <c r="F31" s="316"/>
      <c r="G31" s="175" t="str">
        <f>IF(AND($B31&lt;&gt;"",$C31=""),リスト!$Y$12,IF($U31&gt;0,リスト!$Y$11,IF(OR($S31&gt;0,$T31&gt;0),リスト!$Y$10,IF($V31&gt;0,リスト!$Y$13,IF($W31&gt;0,リスト!$Y$14,IF($X31&gt;0,リスト!$Y$15,""))))))</f>
        <v/>
      </c>
      <c r="H31" s="176" t="str">
        <f>IF($L31&lt;&gt;"",COUNTIF(エントリー!$V$8:$V$87,$K31),"")</f>
        <v/>
      </c>
      <c r="K31" s="44">
        <f t="shared" si="0"/>
        <v>24</v>
      </c>
      <c r="L31" s="44" t="str">
        <f t="shared" si="5"/>
        <v/>
      </c>
      <c r="M31" s="44" t="str">
        <f t="shared" si="6"/>
        <v/>
      </c>
      <c r="N31" s="44">
        <f t="shared" si="7"/>
        <v>24</v>
      </c>
      <c r="O31" s="44" t="str">
        <f t="shared" si="8"/>
        <v/>
      </c>
      <c r="P31" s="44" t="str">
        <f t="shared" si="9"/>
        <v/>
      </c>
      <c r="Q31" s="44" t="str">
        <f t="shared" si="10"/>
        <v/>
      </c>
      <c r="R31" s="44" t="str">
        <f>IF($Q31&lt;&gt;"",IFERROR(VLOOKUP(LEFT($Q31,3),'ISO3166-1'!$A$2:$B$250,2,FALSE),"不明("&amp;LEFT($Q31,3)&amp;")"),"")</f>
        <v/>
      </c>
      <c r="S31" s="44">
        <f t="shared" si="11"/>
        <v>0</v>
      </c>
      <c r="T31" s="44">
        <f t="shared" si="12"/>
        <v>0</v>
      </c>
      <c r="U31" s="44">
        <f t="shared" si="13"/>
        <v>0</v>
      </c>
      <c r="V31" s="44">
        <f t="shared" si="14"/>
        <v>0</v>
      </c>
      <c r="W31" s="44">
        <f t="shared" si="15"/>
        <v>0</v>
      </c>
      <c r="X31" s="44">
        <f t="shared" si="16"/>
        <v>0</v>
      </c>
      <c r="AA31" s="44" t="str">
        <f t="shared" ca="1" si="17"/>
        <v/>
      </c>
      <c r="AB31" s="44" t="str">
        <f t="shared" ca="1" si="18"/>
        <v/>
      </c>
      <c r="AC31" s="44" t="str">
        <f t="shared" ca="1" si="19"/>
        <v/>
      </c>
      <c r="AD31" s="44" t="str">
        <f t="shared" ca="1" si="20"/>
        <v/>
      </c>
      <c r="AE31" s="44" t="str">
        <f t="shared" ca="1" si="21"/>
        <v/>
      </c>
      <c r="AF31" s="44" t="str">
        <f t="shared" ca="1" si="22"/>
        <v/>
      </c>
      <c r="AG31" s="44" t="str">
        <f t="shared" ca="1" si="23"/>
        <v/>
      </c>
      <c r="AH31" s="335" t="str">
        <f t="shared" ca="1" si="24"/>
        <v/>
      </c>
      <c r="AI31" s="44" t="str">
        <f t="shared" ca="1" si="25"/>
        <v/>
      </c>
      <c r="AL31" s="44">
        <f t="shared" si="26"/>
        <v>0</v>
      </c>
      <c r="AM31" s="44">
        <f t="shared" si="27"/>
        <v>24</v>
      </c>
      <c r="AN31" s="44" t="str">
        <f t="shared" ca="1" si="28"/>
        <v/>
      </c>
      <c r="AO31" s="44" t="str">
        <f t="shared" si="29"/>
        <v/>
      </c>
      <c r="AP31" s="44" t="str">
        <f t="shared" si="30"/>
        <v/>
      </c>
      <c r="AQ31" s="44" t="str">
        <f t="shared" ca="1" si="31"/>
        <v/>
      </c>
    </row>
    <row r="32" spans="1:43" x14ac:dyDescent="0.4">
      <c r="A32" s="167">
        <v>25</v>
      </c>
      <c r="B32" s="133"/>
      <c r="C32" s="133"/>
      <c r="D32" s="315"/>
      <c r="E32" s="329"/>
      <c r="F32" s="316"/>
      <c r="G32" s="175" t="str">
        <f>IF(AND($B32&lt;&gt;"",$C32=""),リスト!$Y$12,IF($U32&gt;0,リスト!$Y$11,IF(OR($S32&gt;0,$T32&gt;0),リスト!$Y$10,IF($V32&gt;0,リスト!$Y$13,IF($W32&gt;0,リスト!$Y$14,IF($X32&gt;0,リスト!$Y$15,""))))))</f>
        <v/>
      </c>
      <c r="H32" s="176" t="str">
        <f>IF($L32&lt;&gt;"",COUNTIF(エントリー!$V$8:$V$87,$K32),"")</f>
        <v/>
      </c>
      <c r="K32" s="44">
        <f t="shared" si="0"/>
        <v>25</v>
      </c>
      <c r="L32" s="44" t="str">
        <f t="shared" si="5"/>
        <v/>
      </c>
      <c r="M32" s="44" t="str">
        <f t="shared" si="6"/>
        <v/>
      </c>
      <c r="N32" s="44">
        <f t="shared" si="7"/>
        <v>25</v>
      </c>
      <c r="O32" s="44" t="str">
        <f t="shared" si="8"/>
        <v/>
      </c>
      <c r="P32" s="44" t="str">
        <f t="shared" si="9"/>
        <v/>
      </c>
      <c r="Q32" s="44" t="str">
        <f t="shared" si="10"/>
        <v/>
      </c>
      <c r="R32" s="44" t="str">
        <f>IF($Q32&lt;&gt;"",IFERROR(VLOOKUP(LEFT($Q32,3),'ISO3166-1'!$A$2:$B$250,2,FALSE),"不明("&amp;LEFT($Q32,3)&amp;")"),"")</f>
        <v/>
      </c>
      <c r="S32" s="44">
        <f t="shared" si="11"/>
        <v>0</v>
      </c>
      <c r="T32" s="44">
        <f t="shared" si="12"/>
        <v>0</v>
      </c>
      <c r="U32" s="44">
        <f t="shared" si="13"/>
        <v>0</v>
      </c>
      <c r="V32" s="44">
        <f t="shared" si="14"/>
        <v>0</v>
      </c>
      <c r="W32" s="44">
        <f t="shared" si="15"/>
        <v>0</v>
      </c>
      <c r="X32" s="44">
        <f t="shared" si="16"/>
        <v>0</v>
      </c>
      <c r="AA32" s="44" t="str">
        <f t="shared" ca="1" si="17"/>
        <v/>
      </c>
      <c r="AB32" s="44" t="str">
        <f t="shared" ca="1" si="18"/>
        <v/>
      </c>
      <c r="AC32" s="44" t="str">
        <f t="shared" ca="1" si="19"/>
        <v/>
      </c>
      <c r="AD32" s="44" t="str">
        <f t="shared" ca="1" si="20"/>
        <v/>
      </c>
      <c r="AE32" s="44" t="str">
        <f t="shared" ca="1" si="21"/>
        <v/>
      </c>
      <c r="AF32" s="44" t="str">
        <f t="shared" ca="1" si="22"/>
        <v/>
      </c>
      <c r="AG32" s="44" t="str">
        <f t="shared" ca="1" si="23"/>
        <v/>
      </c>
      <c r="AH32" s="335" t="str">
        <f t="shared" ca="1" si="24"/>
        <v/>
      </c>
      <c r="AI32" s="44" t="str">
        <f t="shared" ca="1" si="25"/>
        <v/>
      </c>
      <c r="AL32" s="44">
        <f t="shared" si="26"/>
        <v>0</v>
      </c>
      <c r="AM32" s="44">
        <f t="shared" si="27"/>
        <v>25</v>
      </c>
      <c r="AN32" s="44" t="str">
        <f t="shared" ca="1" si="28"/>
        <v/>
      </c>
      <c r="AO32" s="44" t="str">
        <f t="shared" si="29"/>
        <v/>
      </c>
      <c r="AP32" s="44" t="str">
        <f t="shared" si="30"/>
        <v/>
      </c>
      <c r="AQ32" s="44" t="str">
        <f t="shared" ca="1" si="31"/>
        <v/>
      </c>
    </row>
    <row r="33" spans="1:43" ht="21.95" customHeight="1" x14ac:dyDescent="0.4">
      <c r="A33" s="167">
        <v>26</v>
      </c>
      <c r="B33" s="133"/>
      <c r="C33" s="133"/>
      <c r="D33" s="315"/>
      <c r="E33" s="329"/>
      <c r="F33" s="316"/>
      <c r="G33" s="175" t="str">
        <f>IF(AND($B33&lt;&gt;"",$C33=""),リスト!$Y$12,IF($U33&gt;0,リスト!$Y$11,IF(OR($S33&gt;0,$T33&gt;0),リスト!$Y$10,IF($V33&gt;0,リスト!$Y$13,IF($W33&gt;0,リスト!$Y$14,IF($X33&gt;0,リスト!$Y$15,""))))))</f>
        <v/>
      </c>
      <c r="H33" s="176" t="str">
        <f>IF($L33&lt;&gt;"",COUNTIF(エントリー!$V$8:$V$87,$K33),"")</f>
        <v/>
      </c>
      <c r="K33" s="44">
        <f t="shared" si="0"/>
        <v>26</v>
      </c>
      <c r="L33" s="44" t="str">
        <f t="shared" si="5"/>
        <v/>
      </c>
      <c r="M33" s="44" t="str">
        <f t="shared" si="6"/>
        <v/>
      </c>
      <c r="N33" s="44">
        <f t="shared" si="7"/>
        <v>26</v>
      </c>
      <c r="O33" s="44" t="str">
        <f t="shared" si="8"/>
        <v/>
      </c>
      <c r="P33" s="44" t="str">
        <f t="shared" si="9"/>
        <v/>
      </c>
      <c r="Q33" s="44" t="str">
        <f t="shared" si="10"/>
        <v/>
      </c>
      <c r="R33" s="44" t="str">
        <f>IF($Q33&lt;&gt;"",IFERROR(VLOOKUP(LEFT($Q33,3),'ISO3166-1'!$A$2:$B$250,2,FALSE),"不明("&amp;LEFT($Q33,3)&amp;")"),"")</f>
        <v/>
      </c>
      <c r="S33" s="44">
        <f t="shared" si="11"/>
        <v>0</v>
      </c>
      <c r="T33" s="44">
        <f t="shared" si="12"/>
        <v>0</v>
      </c>
      <c r="U33" s="44">
        <f t="shared" si="13"/>
        <v>0</v>
      </c>
      <c r="V33" s="44">
        <f t="shared" si="14"/>
        <v>0</v>
      </c>
      <c r="W33" s="44">
        <f t="shared" si="15"/>
        <v>0</v>
      </c>
      <c r="X33" s="44">
        <f t="shared" si="16"/>
        <v>0</v>
      </c>
      <c r="AA33" s="44" t="str">
        <f t="shared" ca="1" si="17"/>
        <v/>
      </c>
      <c r="AB33" s="44" t="str">
        <f t="shared" ca="1" si="18"/>
        <v/>
      </c>
      <c r="AC33" s="44" t="str">
        <f t="shared" ca="1" si="19"/>
        <v/>
      </c>
      <c r="AD33" s="44" t="str">
        <f t="shared" ca="1" si="20"/>
        <v/>
      </c>
      <c r="AE33" s="44" t="str">
        <f t="shared" ca="1" si="21"/>
        <v/>
      </c>
      <c r="AF33" s="44" t="str">
        <f t="shared" ca="1" si="22"/>
        <v/>
      </c>
      <c r="AG33" s="44" t="str">
        <f t="shared" ca="1" si="23"/>
        <v/>
      </c>
      <c r="AH33" s="335" t="str">
        <f t="shared" ca="1" si="24"/>
        <v/>
      </c>
      <c r="AI33" s="44" t="str">
        <f t="shared" ca="1" si="25"/>
        <v/>
      </c>
      <c r="AL33" s="44">
        <f t="shared" si="26"/>
        <v>0</v>
      </c>
      <c r="AM33" s="44">
        <f t="shared" si="27"/>
        <v>26</v>
      </c>
      <c r="AN33" s="44" t="str">
        <f t="shared" ca="1" si="28"/>
        <v/>
      </c>
      <c r="AO33" s="44" t="str">
        <f t="shared" si="29"/>
        <v/>
      </c>
      <c r="AP33" s="44" t="str">
        <f t="shared" si="30"/>
        <v/>
      </c>
      <c r="AQ33" s="44" t="str">
        <f t="shared" ca="1" si="31"/>
        <v/>
      </c>
    </row>
    <row r="34" spans="1:43" ht="21.95" customHeight="1" x14ac:dyDescent="0.4">
      <c r="A34" s="167">
        <v>27</v>
      </c>
      <c r="B34" s="133"/>
      <c r="C34" s="133"/>
      <c r="D34" s="315"/>
      <c r="E34" s="329"/>
      <c r="F34" s="316"/>
      <c r="G34" s="175" t="str">
        <f>IF(AND($B34&lt;&gt;"",$C34=""),リスト!$Y$12,IF($U34&gt;0,リスト!$Y$11,IF(OR($S34&gt;0,$T34&gt;0),リスト!$Y$10,IF($V34&gt;0,リスト!$Y$13,IF($W34&gt;0,リスト!$Y$14,IF($X34&gt;0,リスト!$Y$15,""))))))</f>
        <v/>
      </c>
      <c r="H34" s="176" t="str">
        <f>IF($L34&lt;&gt;"",COUNTIF(エントリー!$V$8:$V$87,$K34),"")</f>
        <v/>
      </c>
      <c r="K34" s="44">
        <f t="shared" si="0"/>
        <v>27</v>
      </c>
      <c r="L34" s="44" t="str">
        <f t="shared" si="5"/>
        <v/>
      </c>
      <c r="M34" s="44" t="str">
        <f t="shared" si="6"/>
        <v/>
      </c>
      <c r="N34" s="44">
        <f t="shared" si="7"/>
        <v>27</v>
      </c>
      <c r="O34" s="44" t="str">
        <f t="shared" si="8"/>
        <v/>
      </c>
      <c r="P34" s="44" t="str">
        <f t="shared" si="9"/>
        <v/>
      </c>
      <c r="Q34" s="44" t="str">
        <f t="shared" si="10"/>
        <v/>
      </c>
      <c r="R34" s="44" t="str">
        <f>IF($Q34&lt;&gt;"",IFERROR(VLOOKUP(LEFT($Q34,3),'ISO3166-1'!$A$2:$B$250,2,FALSE),"不明("&amp;LEFT($Q34,3)&amp;")"),"")</f>
        <v/>
      </c>
      <c r="S34" s="44">
        <f t="shared" si="11"/>
        <v>0</v>
      </c>
      <c r="T34" s="44">
        <f t="shared" si="12"/>
        <v>0</v>
      </c>
      <c r="U34" s="44">
        <f t="shared" si="13"/>
        <v>0</v>
      </c>
      <c r="V34" s="44">
        <f t="shared" si="14"/>
        <v>0</v>
      </c>
      <c r="W34" s="44">
        <f t="shared" si="15"/>
        <v>0</v>
      </c>
      <c r="X34" s="44">
        <f t="shared" si="16"/>
        <v>0</v>
      </c>
      <c r="AA34" s="44" t="str">
        <f t="shared" ca="1" si="17"/>
        <v/>
      </c>
      <c r="AB34" s="44" t="str">
        <f t="shared" ca="1" si="18"/>
        <v/>
      </c>
      <c r="AC34" s="44" t="str">
        <f t="shared" ca="1" si="19"/>
        <v/>
      </c>
      <c r="AD34" s="44" t="str">
        <f t="shared" ca="1" si="20"/>
        <v/>
      </c>
      <c r="AE34" s="44" t="str">
        <f t="shared" ca="1" si="21"/>
        <v/>
      </c>
      <c r="AF34" s="44" t="str">
        <f t="shared" ca="1" si="22"/>
        <v/>
      </c>
      <c r="AG34" s="44" t="str">
        <f t="shared" ca="1" si="23"/>
        <v/>
      </c>
      <c r="AH34" s="335" t="str">
        <f t="shared" ca="1" si="24"/>
        <v/>
      </c>
      <c r="AI34" s="44" t="str">
        <f t="shared" ca="1" si="25"/>
        <v/>
      </c>
      <c r="AL34" s="44">
        <f t="shared" si="26"/>
        <v>0</v>
      </c>
      <c r="AM34" s="44">
        <f t="shared" si="27"/>
        <v>27</v>
      </c>
      <c r="AN34" s="44" t="str">
        <f t="shared" ca="1" si="28"/>
        <v/>
      </c>
      <c r="AO34" s="44" t="str">
        <f t="shared" si="29"/>
        <v/>
      </c>
      <c r="AP34" s="44" t="str">
        <f t="shared" si="30"/>
        <v/>
      </c>
      <c r="AQ34" s="44" t="str">
        <f t="shared" ca="1" si="31"/>
        <v/>
      </c>
    </row>
    <row r="35" spans="1:43" ht="21.95" customHeight="1" x14ac:dyDescent="0.4">
      <c r="A35" s="167">
        <v>28</v>
      </c>
      <c r="B35" s="133"/>
      <c r="C35" s="133"/>
      <c r="D35" s="315"/>
      <c r="E35" s="329"/>
      <c r="F35" s="316"/>
      <c r="G35" s="175" t="str">
        <f>IF(AND($B35&lt;&gt;"",$C35=""),リスト!$Y$12,IF($U35&gt;0,リスト!$Y$11,IF(OR($S35&gt;0,$T35&gt;0),リスト!$Y$10,IF($V35&gt;0,リスト!$Y$13,IF($W35&gt;0,リスト!$Y$14,IF($X35&gt;0,リスト!$Y$15,""))))))</f>
        <v/>
      </c>
      <c r="H35" s="176" t="str">
        <f>IF($L35&lt;&gt;"",COUNTIF(エントリー!$V$8:$V$87,$K35),"")</f>
        <v/>
      </c>
      <c r="K35" s="44">
        <f t="shared" si="0"/>
        <v>28</v>
      </c>
      <c r="L35" s="44" t="str">
        <f t="shared" si="5"/>
        <v/>
      </c>
      <c r="M35" s="44" t="str">
        <f t="shared" si="6"/>
        <v/>
      </c>
      <c r="N35" s="44">
        <f t="shared" si="7"/>
        <v>28</v>
      </c>
      <c r="O35" s="44" t="str">
        <f t="shared" si="8"/>
        <v/>
      </c>
      <c r="P35" s="44" t="str">
        <f t="shared" si="9"/>
        <v/>
      </c>
      <c r="Q35" s="44" t="str">
        <f t="shared" si="10"/>
        <v/>
      </c>
      <c r="R35" s="44" t="str">
        <f>IF($Q35&lt;&gt;"",IFERROR(VLOOKUP(LEFT($Q35,3),'ISO3166-1'!$A$2:$B$250,2,FALSE),"不明("&amp;LEFT($Q35,3)&amp;")"),"")</f>
        <v/>
      </c>
      <c r="S35" s="44">
        <f t="shared" si="11"/>
        <v>0</v>
      </c>
      <c r="T35" s="44">
        <f t="shared" si="12"/>
        <v>0</v>
      </c>
      <c r="U35" s="44">
        <f t="shared" si="13"/>
        <v>0</v>
      </c>
      <c r="V35" s="44">
        <f t="shared" si="14"/>
        <v>0</v>
      </c>
      <c r="W35" s="44">
        <f t="shared" si="15"/>
        <v>0</v>
      </c>
      <c r="X35" s="44">
        <f t="shared" si="16"/>
        <v>0</v>
      </c>
      <c r="AA35" s="44" t="str">
        <f t="shared" ca="1" si="17"/>
        <v/>
      </c>
      <c r="AB35" s="44" t="str">
        <f t="shared" ca="1" si="18"/>
        <v/>
      </c>
      <c r="AC35" s="44" t="str">
        <f t="shared" ca="1" si="19"/>
        <v/>
      </c>
      <c r="AD35" s="44" t="str">
        <f t="shared" ca="1" si="20"/>
        <v/>
      </c>
      <c r="AE35" s="44" t="str">
        <f t="shared" ca="1" si="21"/>
        <v/>
      </c>
      <c r="AF35" s="44" t="str">
        <f t="shared" ca="1" si="22"/>
        <v/>
      </c>
      <c r="AG35" s="44" t="str">
        <f t="shared" ca="1" si="23"/>
        <v/>
      </c>
      <c r="AH35" s="335" t="str">
        <f t="shared" ca="1" si="24"/>
        <v/>
      </c>
      <c r="AI35" s="44" t="str">
        <f t="shared" ca="1" si="25"/>
        <v/>
      </c>
      <c r="AL35" s="44">
        <f t="shared" si="26"/>
        <v>0</v>
      </c>
      <c r="AM35" s="44">
        <f t="shared" si="27"/>
        <v>28</v>
      </c>
      <c r="AN35" s="44" t="str">
        <f t="shared" ca="1" si="28"/>
        <v/>
      </c>
      <c r="AO35" s="44" t="str">
        <f t="shared" si="29"/>
        <v/>
      </c>
      <c r="AP35" s="44" t="str">
        <f t="shared" si="30"/>
        <v/>
      </c>
      <c r="AQ35" s="44" t="str">
        <f t="shared" ca="1" si="31"/>
        <v/>
      </c>
    </row>
    <row r="36" spans="1:43" ht="21.95" customHeight="1" x14ac:dyDescent="0.4">
      <c r="A36" s="167">
        <v>29</v>
      </c>
      <c r="B36" s="133"/>
      <c r="C36" s="133"/>
      <c r="D36" s="315"/>
      <c r="E36" s="329"/>
      <c r="F36" s="316"/>
      <c r="G36" s="175" t="str">
        <f>IF(AND($B36&lt;&gt;"",$C36=""),リスト!$Y$12,IF($U36&gt;0,リスト!$Y$11,IF(OR($S36&gt;0,$T36&gt;0),リスト!$Y$10,IF($V36&gt;0,リスト!$Y$13,IF($W36&gt;0,リスト!$Y$14,IF($X36&gt;0,リスト!$Y$15,""))))))</f>
        <v/>
      </c>
      <c r="H36" s="176" t="str">
        <f>IF($L36&lt;&gt;"",COUNTIF(エントリー!$V$8:$V$87,$K36),"")</f>
        <v/>
      </c>
      <c r="K36" s="44">
        <f t="shared" si="0"/>
        <v>29</v>
      </c>
      <c r="L36" s="44" t="str">
        <f t="shared" si="5"/>
        <v/>
      </c>
      <c r="M36" s="44" t="str">
        <f t="shared" si="6"/>
        <v/>
      </c>
      <c r="N36" s="44">
        <f t="shared" si="7"/>
        <v>29</v>
      </c>
      <c r="O36" s="44" t="str">
        <f t="shared" si="8"/>
        <v/>
      </c>
      <c r="P36" s="44" t="str">
        <f t="shared" si="9"/>
        <v/>
      </c>
      <c r="Q36" s="44" t="str">
        <f t="shared" si="10"/>
        <v/>
      </c>
      <c r="R36" s="44" t="str">
        <f>IF($Q36&lt;&gt;"",IFERROR(VLOOKUP(LEFT($Q36,3),'ISO3166-1'!$A$2:$B$250,2,FALSE),"不明("&amp;LEFT($Q36,3)&amp;")"),"")</f>
        <v/>
      </c>
      <c r="S36" s="44">
        <f t="shared" si="11"/>
        <v>0</v>
      </c>
      <c r="T36" s="44">
        <f t="shared" si="12"/>
        <v>0</v>
      </c>
      <c r="U36" s="44">
        <f t="shared" si="13"/>
        <v>0</v>
      </c>
      <c r="V36" s="44">
        <f t="shared" si="14"/>
        <v>0</v>
      </c>
      <c r="W36" s="44">
        <f t="shared" si="15"/>
        <v>0</v>
      </c>
      <c r="X36" s="44">
        <f t="shared" si="16"/>
        <v>0</v>
      </c>
      <c r="AA36" s="44" t="str">
        <f t="shared" ca="1" si="17"/>
        <v/>
      </c>
      <c r="AB36" s="44" t="str">
        <f t="shared" ca="1" si="18"/>
        <v/>
      </c>
      <c r="AC36" s="44" t="str">
        <f t="shared" ca="1" si="19"/>
        <v/>
      </c>
      <c r="AD36" s="44" t="str">
        <f t="shared" ca="1" si="20"/>
        <v/>
      </c>
      <c r="AE36" s="44" t="str">
        <f t="shared" ca="1" si="21"/>
        <v/>
      </c>
      <c r="AF36" s="44" t="str">
        <f t="shared" ca="1" si="22"/>
        <v/>
      </c>
      <c r="AG36" s="44" t="str">
        <f t="shared" ca="1" si="23"/>
        <v/>
      </c>
      <c r="AH36" s="335" t="str">
        <f t="shared" ca="1" si="24"/>
        <v/>
      </c>
      <c r="AI36" s="44" t="str">
        <f t="shared" ca="1" si="25"/>
        <v/>
      </c>
      <c r="AL36" s="44">
        <f t="shared" si="26"/>
        <v>0</v>
      </c>
      <c r="AM36" s="44">
        <f t="shared" si="27"/>
        <v>29</v>
      </c>
      <c r="AN36" s="44" t="str">
        <f t="shared" ca="1" si="28"/>
        <v/>
      </c>
      <c r="AO36" s="44" t="str">
        <f t="shared" si="29"/>
        <v/>
      </c>
      <c r="AP36" s="44" t="str">
        <f t="shared" si="30"/>
        <v/>
      </c>
      <c r="AQ36" s="44" t="str">
        <f t="shared" ca="1" si="31"/>
        <v/>
      </c>
    </row>
    <row r="37" spans="1:43" ht="21.95" customHeight="1" x14ac:dyDescent="0.4">
      <c r="A37" s="167">
        <v>30</v>
      </c>
      <c r="B37" s="133"/>
      <c r="C37" s="133"/>
      <c r="D37" s="315"/>
      <c r="E37" s="329"/>
      <c r="F37" s="316"/>
      <c r="G37" s="175" t="str">
        <f>IF(AND($B37&lt;&gt;"",$C37=""),リスト!$Y$12,IF($U37&gt;0,リスト!$Y$11,IF(OR($S37&gt;0,$T37&gt;0),リスト!$Y$10,IF($V37&gt;0,リスト!$Y$13,IF($W37&gt;0,リスト!$Y$14,IF($X37&gt;0,リスト!$Y$15,""))))))</f>
        <v/>
      </c>
      <c r="H37" s="176" t="str">
        <f>IF($L37&lt;&gt;"",COUNTIF(エントリー!$V$8:$V$87,$K37),"")</f>
        <v/>
      </c>
      <c r="K37" s="44">
        <f t="shared" si="0"/>
        <v>30</v>
      </c>
      <c r="L37" s="44" t="str">
        <f t="shared" si="5"/>
        <v/>
      </c>
      <c r="M37" s="44" t="str">
        <f t="shared" si="6"/>
        <v/>
      </c>
      <c r="N37" s="44">
        <f t="shared" si="7"/>
        <v>30</v>
      </c>
      <c r="O37" s="44" t="str">
        <f t="shared" si="8"/>
        <v/>
      </c>
      <c r="P37" s="44" t="str">
        <f t="shared" si="9"/>
        <v/>
      </c>
      <c r="Q37" s="44" t="str">
        <f t="shared" si="10"/>
        <v/>
      </c>
      <c r="R37" s="44" t="str">
        <f>IF($Q37&lt;&gt;"",IFERROR(VLOOKUP(LEFT($Q37,3),'ISO3166-1'!$A$2:$B$250,2,FALSE),"不明("&amp;LEFT($Q37,3)&amp;")"),"")</f>
        <v/>
      </c>
      <c r="S37" s="44">
        <f t="shared" si="11"/>
        <v>0</v>
      </c>
      <c r="T37" s="44">
        <f t="shared" si="12"/>
        <v>0</v>
      </c>
      <c r="U37" s="44">
        <f t="shared" si="13"/>
        <v>0</v>
      </c>
      <c r="V37" s="44">
        <f t="shared" si="14"/>
        <v>0</v>
      </c>
      <c r="W37" s="44">
        <f t="shared" si="15"/>
        <v>0</v>
      </c>
      <c r="X37" s="44">
        <f t="shared" si="16"/>
        <v>0</v>
      </c>
      <c r="AA37" s="44" t="str">
        <f t="shared" ca="1" si="17"/>
        <v/>
      </c>
      <c r="AB37" s="44" t="str">
        <f t="shared" ca="1" si="18"/>
        <v/>
      </c>
      <c r="AC37" s="44" t="str">
        <f t="shared" ca="1" si="19"/>
        <v/>
      </c>
      <c r="AD37" s="44" t="str">
        <f t="shared" ca="1" si="20"/>
        <v/>
      </c>
      <c r="AE37" s="44" t="str">
        <f t="shared" ca="1" si="21"/>
        <v/>
      </c>
      <c r="AF37" s="44" t="str">
        <f t="shared" ca="1" si="22"/>
        <v/>
      </c>
      <c r="AG37" s="44" t="str">
        <f t="shared" ca="1" si="23"/>
        <v/>
      </c>
      <c r="AH37" s="335" t="str">
        <f t="shared" ca="1" si="24"/>
        <v/>
      </c>
      <c r="AI37" s="44" t="str">
        <f t="shared" ca="1" si="25"/>
        <v/>
      </c>
      <c r="AL37" s="44">
        <f t="shared" si="26"/>
        <v>0</v>
      </c>
      <c r="AM37" s="44">
        <f t="shared" si="27"/>
        <v>30</v>
      </c>
      <c r="AN37" s="44" t="str">
        <f t="shared" ca="1" si="28"/>
        <v/>
      </c>
      <c r="AO37" s="44" t="str">
        <f t="shared" si="29"/>
        <v/>
      </c>
      <c r="AP37" s="44" t="str">
        <f t="shared" si="30"/>
        <v/>
      </c>
      <c r="AQ37" s="44" t="str">
        <f t="shared" ca="1" si="31"/>
        <v/>
      </c>
    </row>
    <row r="38" spans="1:43" ht="21.95" customHeight="1" x14ac:dyDescent="0.4">
      <c r="A38" s="167">
        <v>31</v>
      </c>
      <c r="B38" s="133"/>
      <c r="C38" s="133"/>
      <c r="D38" s="315"/>
      <c r="E38" s="329"/>
      <c r="F38" s="316"/>
      <c r="G38" s="175" t="str">
        <f>IF(AND($B38&lt;&gt;"",$C38=""),リスト!$Y$12,IF($U38&gt;0,リスト!$Y$11,IF(OR($S38&gt;0,$T38&gt;0),リスト!$Y$10,IF($V38&gt;0,リスト!$Y$13,IF($W38&gt;0,リスト!$Y$14,IF($X38&gt;0,リスト!$Y$15,""))))))</f>
        <v/>
      </c>
      <c r="H38" s="176" t="str">
        <f>IF($L38&lt;&gt;"",COUNTIF(エントリー!$V$8:$V$87,$K38),"")</f>
        <v/>
      </c>
      <c r="K38" s="44">
        <f t="shared" si="0"/>
        <v>31</v>
      </c>
      <c r="L38" s="44" t="str">
        <f t="shared" si="5"/>
        <v/>
      </c>
      <c r="M38" s="44" t="str">
        <f t="shared" si="6"/>
        <v/>
      </c>
      <c r="N38" s="44">
        <f t="shared" si="7"/>
        <v>31</v>
      </c>
      <c r="O38" s="44" t="str">
        <f t="shared" si="8"/>
        <v/>
      </c>
      <c r="P38" s="44" t="str">
        <f t="shared" si="9"/>
        <v/>
      </c>
      <c r="Q38" s="44" t="str">
        <f t="shared" si="10"/>
        <v/>
      </c>
      <c r="R38" s="44" t="str">
        <f>IF($Q38&lt;&gt;"",IFERROR(VLOOKUP(LEFT($Q38,3),'ISO3166-1'!$A$2:$B$250,2,FALSE),"不明("&amp;LEFT($Q38,3)&amp;")"),"")</f>
        <v/>
      </c>
      <c r="S38" s="44">
        <f t="shared" si="11"/>
        <v>0</v>
      </c>
      <c r="T38" s="44">
        <f t="shared" si="12"/>
        <v>0</v>
      </c>
      <c r="U38" s="44">
        <f t="shared" si="13"/>
        <v>0</v>
      </c>
      <c r="V38" s="44">
        <f t="shared" si="14"/>
        <v>0</v>
      </c>
      <c r="W38" s="44">
        <f t="shared" si="15"/>
        <v>0</v>
      </c>
      <c r="X38" s="44">
        <f t="shared" si="16"/>
        <v>0</v>
      </c>
      <c r="AA38" s="44" t="str">
        <f t="shared" ca="1" si="17"/>
        <v/>
      </c>
      <c r="AB38" s="44" t="str">
        <f t="shared" ca="1" si="18"/>
        <v/>
      </c>
      <c r="AC38" s="44" t="str">
        <f t="shared" ca="1" si="19"/>
        <v/>
      </c>
      <c r="AD38" s="44" t="str">
        <f t="shared" ca="1" si="20"/>
        <v/>
      </c>
      <c r="AE38" s="44" t="str">
        <f t="shared" ca="1" si="21"/>
        <v/>
      </c>
      <c r="AF38" s="44" t="str">
        <f t="shared" ca="1" si="22"/>
        <v/>
      </c>
      <c r="AG38" s="44" t="str">
        <f t="shared" ca="1" si="23"/>
        <v/>
      </c>
      <c r="AH38" s="335" t="str">
        <f t="shared" ca="1" si="24"/>
        <v/>
      </c>
      <c r="AI38" s="44" t="str">
        <f t="shared" ca="1" si="25"/>
        <v/>
      </c>
      <c r="AL38" s="44">
        <f t="shared" si="26"/>
        <v>0</v>
      </c>
      <c r="AM38" s="44">
        <f t="shared" si="27"/>
        <v>31</v>
      </c>
      <c r="AN38" s="44" t="str">
        <f t="shared" ca="1" si="28"/>
        <v/>
      </c>
      <c r="AO38" s="44" t="str">
        <f t="shared" si="29"/>
        <v/>
      </c>
      <c r="AP38" s="44" t="str">
        <f t="shared" si="30"/>
        <v/>
      </c>
      <c r="AQ38" s="44" t="str">
        <f t="shared" ca="1" si="31"/>
        <v/>
      </c>
    </row>
    <row r="39" spans="1:43" ht="21.95" customHeight="1" x14ac:dyDescent="0.4">
      <c r="A39" s="167">
        <v>32</v>
      </c>
      <c r="B39" s="133"/>
      <c r="C39" s="133"/>
      <c r="D39" s="315"/>
      <c r="E39" s="329"/>
      <c r="F39" s="316"/>
      <c r="G39" s="175" t="str">
        <f>IF(AND($B39&lt;&gt;"",$C39=""),リスト!$Y$12,IF($U39&gt;0,リスト!$Y$11,IF(OR($S39&gt;0,$T39&gt;0),リスト!$Y$10,IF($V39&gt;0,リスト!$Y$13,IF($W39&gt;0,リスト!$Y$14,IF($X39&gt;0,リスト!$Y$15,""))))))</f>
        <v/>
      </c>
      <c r="H39" s="176" t="str">
        <f>IF($L39&lt;&gt;"",COUNTIF(エントリー!$V$8:$V$87,$K39),"")</f>
        <v/>
      </c>
      <c r="K39" s="44">
        <f t="shared" si="0"/>
        <v>32</v>
      </c>
      <c r="L39" s="44" t="str">
        <f t="shared" si="5"/>
        <v/>
      </c>
      <c r="M39" s="44" t="str">
        <f t="shared" si="6"/>
        <v/>
      </c>
      <c r="N39" s="44">
        <f t="shared" si="7"/>
        <v>32</v>
      </c>
      <c r="O39" s="44" t="str">
        <f t="shared" si="8"/>
        <v/>
      </c>
      <c r="P39" s="44" t="str">
        <f t="shared" si="9"/>
        <v/>
      </c>
      <c r="Q39" s="44" t="str">
        <f t="shared" si="10"/>
        <v/>
      </c>
      <c r="R39" s="44" t="str">
        <f>IF($Q39&lt;&gt;"",IFERROR(VLOOKUP(LEFT($Q39,3),'ISO3166-1'!$A$2:$B$250,2,FALSE),"不明("&amp;LEFT($Q39,3)&amp;")"),"")</f>
        <v/>
      </c>
      <c r="S39" s="44">
        <f t="shared" si="11"/>
        <v>0</v>
      </c>
      <c r="T39" s="44">
        <f t="shared" si="12"/>
        <v>0</v>
      </c>
      <c r="U39" s="44">
        <f t="shared" si="13"/>
        <v>0</v>
      </c>
      <c r="V39" s="44">
        <f t="shared" si="14"/>
        <v>0</v>
      </c>
      <c r="W39" s="44">
        <f t="shared" si="15"/>
        <v>0</v>
      </c>
      <c r="X39" s="44">
        <f t="shared" si="16"/>
        <v>0</v>
      </c>
      <c r="AA39" s="44" t="str">
        <f t="shared" ca="1" si="17"/>
        <v/>
      </c>
      <c r="AB39" s="44" t="str">
        <f t="shared" ca="1" si="18"/>
        <v/>
      </c>
      <c r="AC39" s="44" t="str">
        <f t="shared" ca="1" si="19"/>
        <v/>
      </c>
      <c r="AD39" s="44" t="str">
        <f t="shared" ca="1" si="20"/>
        <v/>
      </c>
      <c r="AE39" s="44" t="str">
        <f t="shared" ca="1" si="21"/>
        <v/>
      </c>
      <c r="AF39" s="44" t="str">
        <f t="shared" ca="1" si="22"/>
        <v/>
      </c>
      <c r="AG39" s="44" t="str">
        <f t="shared" ca="1" si="23"/>
        <v/>
      </c>
      <c r="AH39" s="335" t="str">
        <f t="shared" ca="1" si="24"/>
        <v/>
      </c>
      <c r="AI39" s="44" t="str">
        <f t="shared" ca="1" si="25"/>
        <v/>
      </c>
      <c r="AL39" s="44">
        <f t="shared" si="26"/>
        <v>0</v>
      </c>
      <c r="AM39" s="44">
        <f t="shared" si="27"/>
        <v>32</v>
      </c>
      <c r="AN39" s="44" t="str">
        <f t="shared" ca="1" si="28"/>
        <v/>
      </c>
      <c r="AO39" s="44" t="str">
        <f t="shared" si="29"/>
        <v/>
      </c>
      <c r="AP39" s="44" t="str">
        <f t="shared" si="30"/>
        <v/>
      </c>
      <c r="AQ39" s="44" t="str">
        <f t="shared" ca="1" si="31"/>
        <v/>
      </c>
    </row>
    <row r="40" spans="1:43" ht="21.95" customHeight="1" x14ac:dyDescent="0.4">
      <c r="A40" s="167">
        <v>33</v>
      </c>
      <c r="B40" s="133"/>
      <c r="C40" s="133"/>
      <c r="D40" s="315"/>
      <c r="E40" s="329"/>
      <c r="F40" s="316"/>
      <c r="G40" s="175" t="str">
        <f>IF(AND($B40&lt;&gt;"",$C40=""),リスト!$Y$12,IF($U40&gt;0,リスト!$Y$11,IF(OR($S40&gt;0,$T40&gt;0),リスト!$Y$10,IF($V40&gt;0,リスト!$Y$13,IF($W40&gt;0,リスト!$Y$14,IF($X40&gt;0,リスト!$Y$15,""))))))</f>
        <v/>
      </c>
      <c r="H40" s="176" t="str">
        <f>IF($L40&lt;&gt;"",COUNTIF(エントリー!$V$8:$V$87,$K40),"")</f>
        <v/>
      </c>
      <c r="K40" s="44">
        <f t="shared" ref="K40:K57" si="32">A40</f>
        <v>33</v>
      </c>
      <c r="L40" s="44" t="str">
        <f t="shared" si="5"/>
        <v/>
      </c>
      <c r="M40" s="44" t="str">
        <f t="shared" si="6"/>
        <v/>
      </c>
      <c r="N40" s="44">
        <f t="shared" si="7"/>
        <v>33</v>
      </c>
      <c r="O40" s="44" t="str">
        <f t="shared" si="8"/>
        <v/>
      </c>
      <c r="P40" s="44" t="str">
        <f t="shared" si="9"/>
        <v/>
      </c>
      <c r="Q40" s="44" t="str">
        <f t="shared" si="10"/>
        <v/>
      </c>
      <c r="R40" s="44" t="str">
        <f>IF($Q40&lt;&gt;"",IFERROR(VLOOKUP(LEFT($Q40,3),'ISO3166-1'!$A$2:$B$250,2,FALSE),"不明("&amp;LEFT($Q40,3)&amp;")"),"")</f>
        <v/>
      </c>
      <c r="S40" s="44">
        <f t="shared" si="11"/>
        <v>0</v>
      </c>
      <c r="T40" s="44">
        <f t="shared" si="12"/>
        <v>0</v>
      </c>
      <c r="U40" s="44">
        <f t="shared" si="13"/>
        <v>0</v>
      </c>
      <c r="V40" s="44">
        <f t="shared" si="14"/>
        <v>0</v>
      </c>
      <c r="W40" s="44">
        <f t="shared" si="15"/>
        <v>0</v>
      </c>
      <c r="X40" s="44">
        <f t="shared" si="16"/>
        <v>0</v>
      </c>
      <c r="AA40" s="44" t="str">
        <f t="shared" ca="1" si="17"/>
        <v/>
      </c>
      <c r="AB40" s="44" t="str">
        <f t="shared" ca="1" si="18"/>
        <v/>
      </c>
      <c r="AC40" s="44" t="str">
        <f t="shared" ca="1" si="19"/>
        <v/>
      </c>
      <c r="AD40" s="44" t="str">
        <f t="shared" ca="1" si="20"/>
        <v/>
      </c>
      <c r="AE40" s="44" t="str">
        <f t="shared" ca="1" si="21"/>
        <v/>
      </c>
      <c r="AF40" s="44" t="str">
        <f t="shared" ca="1" si="22"/>
        <v/>
      </c>
      <c r="AG40" s="44" t="str">
        <f t="shared" ca="1" si="23"/>
        <v/>
      </c>
      <c r="AH40" s="335" t="str">
        <f t="shared" ca="1" si="24"/>
        <v/>
      </c>
      <c r="AI40" s="44" t="str">
        <f t="shared" ca="1" si="25"/>
        <v/>
      </c>
      <c r="AL40" s="44">
        <f t="shared" si="26"/>
        <v>0</v>
      </c>
      <c r="AM40" s="44">
        <f t="shared" si="27"/>
        <v>33</v>
      </c>
      <c r="AN40" s="44" t="str">
        <f t="shared" ca="1" si="28"/>
        <v/>
      </c>
      <c r="AO40" s="44" t="str">
        <f t="shared" si="29"/>
        <v/>
      </c>
      <c r="AP40" s="44" t="str">
        <f t="shared" si="30"/>
        <v/>
      </c>
      <c r="AQ40" s="44" t="str">
        <f t="shared" ca="1" si="31"/>
        <v/>
      </c>
    </row>
    <row r="41" spans="1:43" ht="21.95" customHeight="1" x14ac:dyDescent="0.4">
      <c r="A41" s="167">
        <v>34</v>
      </c>
      <c r="B41" s="133"/>
      <c r="C41" s="133"/>
      <c r="D41" s="315"/>
      <c r="E41" s="329"/>
      <c r="F41" s="316"/>
      <c r="G41" s="175" t="str">
        <f>IF(AND($B41&lt;&gt;"",$C41=""),リスト!$Y$12,IF($U41&gt;0,リスト!$Y$11,IF(OR($S41&gt;0,$T41&gt;0),リスト!$Y$10,IF($V41&gt;0,リスト!$Y$13,IF($W41&gt;0,リスト!$Y$14,IF($X41&gt;0,リスト!$Y$15,""))))))</f>
        <v/>
      </c>
      <c r="H41" s="176" t="str">
        <f>IF($L41&lt;&gt;"",COUNTIF(エントリー!$V$8:$V$87,$K41),"")</f>
        <v/>
      </c>
      <c r="K41" s="44">
        <f t="shared" si="32"/>
        <v>34</v>
      </c>
      <c r="L41" s="44" t="str">
        <f t="shared" si="5"/>
        <v/>
      </c>
      <c r="M41" s="44" t="str">
        <f t="shared" si="6"/>
        <v/>
      </c>
      <c r="N41" s="44">
        <f t="shared" si="7"/>
        <v>34</v>
      </c>
      <c r="O41" s="44" t="str">
        <f t="shared" si="8"/>
        <v/>
      </c>
      <c r="P41" s="44" t="str">
        <f t="shared" si="9"/>
        <v/>
      </c>
      <c r="Q41" s="44" t="str">
        <f t="shared" si="10"/>
        <v/>
      </c>
      <c r="R41" s="44" t="str">
        <f>IF($Q41&lt;&gt;"",IFERROR(VLOOKUP(LEFT($Q41,3),'ISO3166-1'!$A$2:$B$250,2,FALSE),"不明("&amp;LEFT($Q41,3)&amp;")"),"")</f>
        <v/>
      </c>
      <c r="S41" s="44">
        <f t="shared" si="11"/>
        <v>0</v>
      </c>
      <c r="T41" s="44">
        <f t="shared" si="12"/>
        <v>0</v>
      </c>
      <c r="U41" s="44">
        <f t="shared" si="13"/>
        <v>0</v>
      </c>
      <c r="V41" s="44">
        <f t="shared" si="14"/>
        <v>0</v>
      </c>
      <c r="W41" s="44">
        <f t="shared" si="15"/>
        <v>0</v>
      </c>
      <c r="X41" s="44">
        <f t="shared" si="16"/>
        <v>0</v>
      </c>
      <c r="AA41" s="44" t="str">
        <f t="shared" ca="1" si="17"/>
        <v/>
      </c>
      <c r="AB41" s="44" t="str">
        <f t="shared" ca="1" si="18"/>
        <v/>
      </c>
      <c r="AC41" s="44" t="str">
        <f t="shared" ca="1" si="19"/>
        <v/>
      </c>
      <c r="AD41" s="44" t="str">
        <f t="shared" ca="1" si="20"/>
        <v/>
      </c>
      <c r="AE41" s="44" t="str">
        <f t="shared" ca="1" si="21"/>
        <v/>
      </c>
      <c r="AF41" s="44" t="str">
        <f t="shared" ca="1" si="22"/>
        <v/>
      </c>
      <c r="AG41" s="44" t="str">
        <f t="shared" ca="1" si="23"/>
        <v/>
      </c>
      <c r="AH41" s="335" t="str">
        <f t="shared" ca="1" si="24"/>
        <v/>
      </c>
      <c r="AI41" s="44" t="str">
        <f t="shared" ca="1" si="25"/>
        <v/>
      </c>
      <c r="AL41" s="44">
        <f t="shared" si="26"/>
        <v>0</v>
      </c>
      <c r="AM41" s="44">
        <f t="shared" si="27"/>
        <v>34</v>
      </c>
      <c r="AN41" s="44" t="str">
        <f t="shared" ca="1" si="28"/>
        <v/>
      </c>
      <c r="AO41" s="44" t="str">
        <f t="shared" si="29"/>
        <v/>
      </c>
      <c r="AP41" s="44" t="str">
        <f t="shared" si="30"/>
        <v/>
      </c>
      <c r="AQ41" s="44" t="str">
        <f t="shared" ca="1" si="31"/>
        <v/>
      </c>
    </row>
    <row r="42" spans="1:43" ht="21.95" customHeight="1" x14ac:dyDescent="0.4">
      <c r="A42" s="167">
        <v>35</v>
      </c>
      <c r="B42" s="133"/>
      <c r="C42" s="133"/>
      <c r="D42" s="315"/>
      <c r="E42" s="329"/>
      <c r="F42" s="316"/>
      <c r="G42" s="175" t="str">
        <f>IF(AND($B42&lt;&gt;"",$C42=""),リスト!$Y$12,IF($U42&gt;0,リスト!$Y$11,IF(OR($S42&gt;0,$T42&gt;0),リスト!$Y$10,IF($V42&gt;0,リスト!$Y$13,IF($W42&gt;0,リスト!$Y$14,IF($X42&gt;0,リスト!$Y$15,""))))))</f>
        <v/>
      </c>
      <c r="H42" s="176" t="str">
        <f>IF($L42&lt;&gt;"",COUNTIF(エントリー!$V$8:$V$87,$K42),"")</f>
        <v/>
      </c>
      <c r="K42" s="44">
        <f t="shared" si="32"/>
        <v>35</v>
      </c>
      <c r="L42" s="44" t="str">
        <f t="shared" si="5"/>
        <v/>
      </c>
      <c r="M42" s="44" t="str">
        <f t="shared" si="6"/>
        <v/>
      </c>
      <c r="N42" s="44">
        <f t="shared" si="7"/>
        <v>35</v>
      </c>
      <c r="O42" s="44" t="str">
        <f t="shared" si="8"/>
        <v/>
      </c>
      <c r="P42" s="44" t="str">
        <f t="shared" si="9"/>
        <v/>
      </c>
      <c r="Q42" s="44" t="str">
        <f t="shared" si="10"/>
        <v/>
      </c>
      <c r="R42" s="44" t="str">
        <f>IF($Q42&lt;&gt;"",IFERROR(VLOOKUP(LEFT($Q42,3),'ISO3166-1'!$A$2:$B$250,2,FALSE),"不明("&amp;LEFT($Q42,3)&amp;")"),"")</f>
        <v/>
      </c>
      <c r="S42" s="44">
        <f t="shared" si="11"/>
        <v>0</v>
      </c>
      <c r="T42" s="44">
        <f t="shared" si="12"/>
        <v>0</v>
      </c>
      <c r="U42" s="44">
        <f t="shared" si="13"/>
        <v>0</v>
      </c>
      <c r="V42" s="44">
        <f t="shared" si="14"/>
        <v>0</v>
      </c>
      <c r="W42" s="44">
        <f t="shared" si="15"/>
        <v>0</v>
      </c>
      <c r="X42" s="44">
        <f t="shared" si="16"/>
        <v>0</v>
      </c>
      <c r="AA42" s="44" t="str">
        <f t="shared" ca="1" si="17"/>
        <v/>
      </c>
      <c r="AB42" s="44" t="str">
        <f t="shared" ca="1" si="18"/>
        <v/>
      </c>
      <c r="AC42" s="44" t="str">
        <f t="shared" ca="1" si="19"/>
        <v/>
      </c>
      <c r="AD42" s="44" t="str">
        <f t="shared" ca="1" si="20"/>
        <v/>
      </c>
      <c r="AE42" s="44" t="str">
        <f t="shared" ca="1" si="21"/>
        <v/>
      </c>
      <c r="AF42" s="44" t="str">
        <f t="shared" ca="1" si="22"/>
        <v/>
      </c>
      <c r="AG42" s="44" t="str">
        <f t="shared" ca="1" si="23"/>
        <v/>
      </c>
      <c r="AH42" s="335" t="str">
        <f t="shared" ca="1" si="24"/>
        <v/>
      </c>
      <c r="AI42" s="44" t="str">
        <f t="shared" ca="1" si="25"/>
        <v/>
      </c>
      <c r="AL42" s="44">
        <f t="shared" si="26"/>
        <v>0</v>
      </c>
      <c r="AM42" s="44">
        <f t="shared" si="27"/>
        <v>35</v>
      </c>
      <c r="AN42" s="44" t="str">
        <f t="shared" ca="1" si="28"/>
        <v/>
      </c>
      <c r="AO42" s="44" t="str">
        <f t="shared" si="29"/>
        <v/>
      </c>
      <c r="AP42" s="44" t="str">
        <f t="shared" si="30"/>
        <v/>
      </c>
      <c r="AQ42" s="44" t="str">
        <f t="shared" ca="1" si="31"/>
        <v/>
      </c>
    </row>
    <row r="43" spans="1:43" ht="21.95" customHeight="1" x14ac:dyDescent="0.4">
      <c r="A43" s="167">
        <v>36</v>
      </c>
      <c r="B43" s="133"/>
      <c r="C43" s="133"/>
      <c r="D43" s="315"/>
      <c r="E43" s="329"/>
      <c r="F43" s="316"/>
      <c r="G43" s="175" t="str">
        <f>IF(AND($B43&lt;&gt;"",$C43=""),リスト!$Y$12,IF($U43&gt;0,リスト!$Y$11,IF(OR($S43&gt;0,$T43&gt;0),リスト!$Y$10,IF($V43&gt;0,リスト!$Y$13,IF($W43&gt;0,リスト!$Y$14,IF($X43&gt;0,リスト!$Y$15,""))))))</f>
        <v/>
      </c>
      <c r="H43" s="176" t="str">
        <f>IF($L43&lt;&gt;"",COUNTIF(エントリー!$V$8:$V$87,$K43),"")</f>
        <v/>
      </c>
      <c r="K43" s="44">
        <f t="shared" si="32"/>
        <v>36</v>
      </c>
      <c r="L43" s="44" t="str">
        <f t="shared" si="5"/>
        <v/>
      </c>
      <c r="M43" s="44" t="str">
        <f t="shared" si="6"/>
        <v/>
      </c>
      <c r="N43" s="44">
        <f t="shared" si="7"/>
        <v>36</v>
      </c>
      <c r="O43" s="44" t="str">
        <f t="shared" si="8"/>
        <v/>
      </c>
      <c r="P43" s="44" t="str">
        <f t="shared" si="9"/>
        <v/>
      </c>
      <c r="Q43" s="44" t="str">
        <f t="shared" si="10"/>
        <v/>
      </c>
      <c r="R43" s="44" t="str">
        <f>IF($Q43&lt;&gt;"",IFERROR(VLOOKUP(LEFT($Q43,3),'ISO3166-1'!$A$2:$B$250,2,FALSE),"不明("&amp;LEFT($Q43,3)&amp;")"),"")</f>
        <v/>
      </c>
      <c r="S43" s="44">
        <f t="shared" si="11"/>
        <v>0</v>
      </c>
      <c r="T43" s="44">
        <f t="shared" si="12"/>
        <v>0</v>
      </c>
      <c r="U43" s="44">
        <f t="shared" si="13"/>
        <v>0</v>
      </c>
      <c r="V43" s="44">
        <f t="shared" si="14"/>
        <v>0</v>
      </c>
      <c r="W43" s="44">
        <f t="shared" si="15"/>
        <v>0</v>
      </c>
      <c r="X43" s="44">
        <f t="shared" si="16"/>
        <v>0</v>
      </c>
      <c r="AA43" s="44" t="str">
        <f t="shared" ca="1" si="17"/>
        <v/>
      </c>
      <c r="AB43" s="44" t="str">
        <f t="shared" ca="1" si="18"/>
        <v/>
      </c>
      <c r="AC43" s="44" t="str">
        <f t="shared" ca="1" si="19"/>
        <v/>
      </c>
      <c r="AD43" s="44" t="str">
        <f t="shared" ca="1" si="20"/>
        <v/>
      </c>
      <c r="AE43" s="44" t="str">
        <f t="shared" ca="1" si="21"/>
        <v/>
      </c>
      <c r="AF43" s="44" t="str">
        <f t="shared" ca="1" si="22"/>
        <v/>
      </c>
      <c r="AG43" s="44" t="str">
        <f t="shared" ca="1" si="23"/>
        <v/>
      </c>
      <c r="AH43" s="335" t="str">
        <f t="shared" ca="1" si="24"/>
        <v/>
      </c>
      <c r="AI43" s="44" t="str">
        <f t="shared" ca="1" si="25"/>
        <v/>
      </c>
      <c r="AL43" s="44">
        <f t="shared" si="26"/>
        <v>0</v>
      </c>
      <c r="AM43" s="44">
        <f t="shared" si="27"/>
        <v>36</v>
      </c>
      <c r="AN43" s="44" t="str">
        <f t="shared" ca="1" si="28"/>
        <v/>
      </c>
      <c r="AO43" s="44" t="str">
        <f t="shared" si="29"/>
        <v/>
      </c>
      <c r="AP43" s="44" t="str">
        <f t="shared" si="30"/>
        <v/>
      </c>
      <c r="AQ43" s="44" t="str">
        <f t="shared" ca="1" si="31"/>
        <v/>
      </c>
    </row>
    <row r="44" spans="1:43" ht="21.95" customHeight="1" x14ac:dyDescent="0.4">
      <c r="A44" s="167">
        <v>37</v>
      </c>
      <c r="B44" s="133"/>
      <c r="C44" s="133"/>
      <c r="D44" s="315"/>
      <c r="E44" s="329"/>
      <c r="F44" s="316"/>
      <c r="G44" s="175" t="str">
        <f>IF(AND($B44&lt;&gt;"",$C44=""),リスト!$Y$12,IF($U44&gt;0,リスト!$Y$11,IF(OR($S44&gt;0,$T44&gt;0),リスト!$Y$10,IF($V44&gt;0,リスト!$Y$13,IF($W44&gt;0,リスト!$Y$14,IF($X44&gt;0,リスト!$Y$15,""))))))</f>
        <v/>
      </c>
      <c r="H44" s="176" t="str">
        <f>IF($L44&lt;&gt;"",COUNTIF(エントリー!$V$8:$V$87,$K44),"")</f>
        <v/>
      </c>
      <c r="K44" s="44">
        <f t="shared" si="32"/>
        <v>37</v>
      </c>
      <c r="L44" s="44" t="str">
        <f t="shared" si="5"/>
        <v/>
      </c>
      <c r="M44" s="44" t="str">
        <f t="shared" si="6"/>
        <v/>
      </c>
      <c r="N44" s="44">
        <f t="shared" si="7"/>
        <v>37</v>
      </c>
      <c r="O44" s="44" t="str">
        <f t="shared" si="8"/>
        <v/>
      </c>
      <c r="P44" s="44" t="str">
        <f t="shared" si="9"/>
        <v/>
      </c>
      <c r="Q44" s="44" t="str">
        <f t="shared" si="10"/>
        <v/>
      </c>
      <c r="R44" s="44" t="str">
        <f>IF($Q44&lt;&gt;"",IFERROR(VLOOKUP(LEFT($Q44,3),'ISO3166-1'!$A$2:$B$250,2,FALSE),"不明("&amp;LEFT($Q44,3)&amp;")"),"")</f>
        <v/>
      </c>
      <c r="S44" s="44">
        <f t="shared" si="11"/>
        <v>0</v>
      </c>
      <c r="T44" s="44">
        <f t="shared" si="12"/>
        <v>0</v>
      </c>
      <c r="U44" s="44">
        <f t="shared" si="13"/>
        <v>0</v>
      </c>
      <c r="V44" s="44">
        <f t="shared" si="14"/>
        <v>0</v>
      </c>
      <c r="W44" s="44">
        <f t="shared" si="15"/>
        <v>0</v>
      </c>
      <c r="X44" s="44">
        <f t="shared" si="16"/>
        <v>0</v>
      </c>
      <c r="AA44" s="44" t="str">
        <f t="shared" ca="1" si="17"/>
        <v/>
      </c>
      <c r="AB44" s="44" t="str">
        <f t="shared" ca="1" si="18"/>
        <v/>
      </c>
      <c r="AC44" s="44" t="str">
        <f t="shared" ca="1" si="19"/>
        <v/>
      </c>
      <c r="AD44" s="44" t="str">
        <f t="shared" ca="1" si="20"/>
        <v/>
      </c>
      <c r="AE44" s="44" t="str">
        <f t="shared" ca="1" si="21"/>
        <v/>
      </c>
      <c r="AF44" s="44" t="str">
        <f t="shared" ca="1" si="22"/>
        <v/>
      </c>
      <c r="AG44" s="44" t="str">
        <f t="shared" ca="1" si="23"/>
        <v/>
      </c>
      <c r="AH44" s="335" t="str">
        <f t="shared" ca="1" si="24"/>
        <v/>
      </c>
      <c r="AI44" s="44" t="str">
        <f t="shared" ca="1" si="25"/>
        <v/>
      </c>
      <c r="AL44" s="44">
        <f t="shared" si="26"/>
        <v>0</v>
      </c>
      <c r="AM44" s="44">
        <f t="shared" si="27"/>
        <v>37</v>
      </c>
      <c r="AN44" s="44" t="str">
        <f t="shared" ca="1" si="28"/>
        <v/>
      </c>
      <c r="AO44" s="44" t="str">
        <f t="shared" si="29"/>
        <v/>
      </c>
      <c r="AP44" s="44" t="str">
        <f t="shared" si="30"/>
        <v/>
      </c>
      <c r="AQ44" s="44" t="str">
        <f t="shared" ca="1" si="31"/>
        <v/>
      </c>
    </row>
    <row r="45" spans="1:43" ht="21.95" customHeight="1" x14ac:dyDescent="0.4">
      <c r="A45" s="167">
        <v>38</v>
      </c>
      <c r="B45" s="133"/>
      <c r="C45" s="133"/>
      <c r="D45" s="315"/>
      <c r="E45" s="329"/>
      <c r="F45" s="316"/>
      <c r="G45" s="175" t="str">
        <f>IF(AND($B45&lt;&gt;"",$C45=""),リスト!$Y$12,IF($U45&gt;0,リスト!$Y$11,IF(OR($S45&gt;0,$T45&gt;0),リスト!$Y$10,IF($V45&gt;0,リスト!$Y$13,IF($W45&gt;0,リスト!$Y$14,IF($X45&gt;0,リスト!$Y$15,""))))))</f>
        <v/>
      </c>
      <c r="H45" s="176" t="str">
        <f>IF($L45&lt;&gt;"",COUNTIF(エントリー!$V$8:$V$87,$K45),"")</f>
        <v/>
      </c>
      <c r="K45" s="44">
        <f t="shared" si="32"/>
        <v>38</v>
      </c>
      <c r="L45" s="44" t="str">
        <f t="shared" si="5"/>
        <v/>
      </c>
      <c r="M45" s="44" t="str">
        <f t="shared" si="6"/>
        <v/>
      </c>
      <c r="N45" s="44">
        <f t="shared" si="7"/>
        <v>38</v>
      </c>
      <c r="O45" s="44" t="str">
        <f t="shared" si="8"/>
        <v/>
      </c>
      <c r="P45" s="44" t="str">
        <f t="shared" si="9"/>
        <v/>
      </c>
      <c r="Q45" s="44" t="str">
        <f t="shared" si="10"/>
        <v/>
      </c>
      <c r="R45" s="44" t="str">
        <f>IF($Q45&lt;&gt;"",IFERROR(VLOOKUP(LEFT($Q45,3),'ISO3166-1'!$A$2:$B$250,2,FALSE),"不明("&amp;LEFT($Q45,3)&amp;")"),"")</f>
        <v/>
      </c>
      <c r="S45" s="44">
        <f t="shared" si="11"/>
        <v>0</v>
      </c>
      <c r="T45" s="44">
        <f t="shared" si="12"/>
        <v>0</v>
      </c>
      <c r="U45" s="44">
        <f t="shared" si="13"/>
        <v>0</v>
      </c>
      <c r="V45" s="44">
        <f t="shared" si="14"/>
        <v>0</v>
      </c>
      <c r="W45" s="44">
        <f t="shared" si="15"/>
        <v>0</v>
      </c>
      <c r="X45" s="44">
        <f t="shared" si="16"/>
        <v>0</v>
      </c>
      <c r="AA45" s="44" t="str">
        <f t="shared" ca="1" si="17"/>
        <v/>
      </c>
      <c r="AB45" s="44" t="str">
        <f t="shared" ca="1" si="18"/>
        <v/>
      </c>
      <c r="AC45" s="44" t="str">
        <f t="shared" ca="1" si="19"/>
        <v/>
      </c>
      <c r="AD45" s="44" t="str">
        <f t="shared" ca="1" si="20"/>
        <v/>
      </c>
      <c r="AE45" s="44" t="str">
        <f t="shared" ca="1" si="21"/>
        <v/>
      </c>
      <c r="AF45" s="44" t="str">
        <f t="shared" ca="1" si="22"/>
        <v/>
      </c>
      <c r="AG45" s="44" t="str">
        <f t="shared" ca="1" si="23"/>
        <v/>
      </c>
      <c r="AH45" s="335" t="str">
        <f t="shared" ca="1" si="24"/>
        <v/>
      </c>
      <c r="AI45" s="44" t="str">
        <f t="shared" ca="1" si="25"/>
        <v/>
      </c>
      <c r="AL45" s="44">
        <f t="shared" si="26"/>
        <v>0</v>
      </c>
      <c r="AM45" s="44">
        <f t="shared" si="27"/>
        <v>38</v>
      </c>
      <c r="AN45" s="44" t="str">
        <f t="shared" ca="1" si="28"/>
        <v/>
      </c>
      <c r="AO45" s="44" t="str">
        <f t="shared" si="29"/>
        <v/>
      </c>
      <c r="AP45" s="44" t="str">
        <f t="shared" si="30"/>
        <v/>
      </c>
      <c r="AQ45" s="44" t="str">
        <f t="shared" ca="1" si="31"/>
        <v/>
      </c>
    </row>
    <row r="46" spans="1:43" ht="21.95" customHeight="1" x14ac:dyDescent="0.4">
      <c r="A46" s="167">
        <v>39</v>
      </c>
      <c r="B46" s="133"/>
      <c r="C46" s="133"/>
      <c r="D46" s="315"/>
      <c r="E46" s="329"/>
      <c r="F46" s="316"/>
      <c r="G46" s="175" t="str">
        <f>IF(AND($B46&lt;&gt;"",$C46=""),リスト!$Y$12,IF($U46&gt;0,リスト!$Y$11,IF(OR($S46&gt;0,$T46&gt;0),リスト!$Y$10,IF($V46&gt;0,リスト!$Y$13,IF($W46&gt;0,リスト!$Y$14,IF($X46&gt;0,リスト!$Y$15,""))))))</f>
        <v/>
      </c>
      <c r="H46" s="176" t="str">
        <f>IF($L46&lt;&gt;"",COUNTIF(エントリー!$V$8:$V$87,$K46),"")</f>
        <v/>
      </c>
      <c r="K46" s="44">
        <f t="shared" si="32"/>
        <v>39</v>
      </c>
      <c r="L46" s="44" t="str">
        <f t="shared" si="5"/>
        <v/>
      </c>
      <c r="M46" s="44" t="str">
        <f t="shared" si="6"/>
        <v/>
      </c>
      <c r="N46" s="44">
        <f t="shared" si="7"/>
        <v>39</v>
      </c>
      <c r="O46" s="44" t="str">
        <f t="shared" si="8"/>
        <v/>
      </c>
      <c r="P46" s="44" t="str">
        <f t="shared" si="9"/>
        <v/>
      </c>
      <c r="Q46" s="44" t="str">
        <f t="shared" si="10"/>
        <v/>
      </c>
      <c r="R46" s="44" t="str">
        <f>IF($Q46&lt;&gt;"",IFERROR(VLOOKUP(LEFT($Q46,3),'ISO3166-1'!$A$2:$B$250,2,FALSE),"不明("&amp;LEFT($Q46,3)&amp;")"),"")</f>
        <v/>
      </c>
      <c r="S46" s="44">
        <f t="shared" si="11"/>
        <v>0</v>
      </c>
      <c r="T46" s="44">
        <f t="shared" si="12"/>
        <v>0</v>
      </c>
      <c r="U46" s="44">
        <f t="shared" si="13"/>
        <v>0</v>
      </c>
      <c r="V46" s="44">
        <f t="shared" si="14"/>
        <v>0</v>
      </c>
      <c r="W46" s="44">
        <f t="shared" si="15"/>
        <v>0</v>
      </c>
      <c r="X46" s="44">
        <f t="shared" si="16"/>
        <v>0</v>
      </c>
      <c r="AA46" s="44" t="str">
        <f t="shared" ca="1" si="17"/>
        <v/>
      </c>
      <c r="AB46" s="44" t="str">
        <f t="shared" ca="1" si="18"/>
        <v/>
      </c>
      <c r="AC46" s="44" t="str">
        <f t="shared" ca="1" si="19"/>
        <v/>
      </c>
      <c r="AD46" s="44" t="str">
        <f t="shared" ca="1" si="20"/>
        <v/>
      </c>
      <c r="AE46" s="44" t="str">
        <f t="shared" ca="1" si="21"/>
        <v/>
      </c>
      <c r="AF46" s="44" t="str">
        <f t="shared" ca="1" si="22"/>
        <v/>
      </c>
      <c r="AG46" s="44" t="str">
        <f t="shared" ca="1" si="23"/>
        <v/>
      </c>
      <c r="AH46" s="335" t="str">
        <f t="shared" ca="1" si="24"/>
        <v/>
      </c>
      <c r="AI46" s="44" t="str">
        <f t="shared" ca="1" si="25"/>
        <v/>
      </c>
      <c r="AL46" s="44">
        <f t="shared" si="26"/>
        <v>0</v>
      </c>
      <c r="AM46" s="44">
        <f t="shared" si="27"/>
        <v>39</v>
      </c>
      <c r="AN46" s="44" t="str">
        <f t="shared" ca="1" si="28"/>
        <v/>
      </c>
      <c r="AO46" s="44" t="str">
        <f t="shared" si="29"/>
        <v/>
      </c>
      <c r="AP46" s="44" t="str">
        <f t="shared" si="30"/>
        <v/>
      </c>
      <c r="AQ46" s="44" t="str">
        <f t="shared" ca="1" si="31"/>
        <v/>
      </c>
    </row>
    <row r="47" spans="1:43" ht="21.95" customHeight="1" x14ac:dyDescent="0.4">
      <c r="A47" s="167">
        <v>40</v>
      </c>
      <c r="B47" s="133"/>
      <c r="C47" s="133"/>
      <c r="D47" s="315"/>
      <c r="E47" s="329"/>
      <c r="F47" s="316"/>
      <c r="G47" s="175" t="str">
        <f>IF(AND($B47&lt;&gt;"",$C47=""),リスト!$Y$12,IF($U47&gt;0,リスト!$Y$11,IF(OR($S47&gt;0,$T47&gt;0),リスト!$Y$10,IF($V47&gt;0,リスト!$Y$13,IF($W47&gt;0,リスト!$Y$14,IF($X47&gt;0,リスト!$Y$15,""))))))</f>
        <v/>
      </c>
      <c r="H47" s="176" t="str">
        <f>IF($L47&lt;&gt;"",COUNTIF(エントリー!$V$8:$V$87,$K47),"")</f>
        <v/>
      </c>
      <c r="K47" s="44">
        <f t="shared" si="32"/>
        <v>40</v>
      </c>
      <c r="L47" s="44" t="str">
        <f t="shared" si="5"/>
        <v/>
      </c>
      <c r="M47" s="44" t="str">
        <f t="shared" si="6"/>
        <v/>
      </c>
      <c r="N47" s="44">
        <f t="shared" si="7"/>
        <v>40</v>
      </c>
      <c r="O47" s="44" t="str">
        <f t="shared" si="8"/>
        <v/>
      </c>
      <c r="P47" s="44" t="str">
        <f t="shared" si="9"/>
        <v/>
      </c>
      <c r="Q47" s="44" t="str">
        <f t="shared" si="10"/>
        <v/>
      </c>
      <c r="R47" s="44" t="str">
        <f>IF($Q47&lt;&gt;"",IFERROR(VLOOKUP(LEFT($Q47,3),'ISO3166-1'!$A$2:$B$250,2,FALSE),"不明("&amp;LEFT($Q47,3)&amp;")"),"")</f>
        <v/>
      </c>
      <c r="S47" s="44">
        <f t="shared" si="11"/>
        <v>0</v>
      </c>
      <c r="T47" s="44">
        <f t="shared" si="12"/>
        <v>0</v>
      </c>
      <c r="U47" s="44">
        <f t="shared" si="13"/>
        <v>0</v>
      </c>
      <c r="V47" s="44">
        <f t="shared" si="14"/>
        <v>0</v>
      </c>
      <c r="W47" s="44">
        <f t="shared" si="15"/>
        <v>0</v>
      </c>
      <c r="X47" s="44">
        <f t="shared" si="16"/>
        <v>0</v>
      </c>
      <c r="AA47" s="44" t="str">
        <f t="shared" ca="1" si="17"/>
        <v/>
      </c>
      <c r="AB47" s="44" t="str">
        <f t="shared" ca="1" si="18"/>
        <v/>
      </c>
      <c r="AC47" s="44" t="str">
        <f t="shared" ca="1" si="19"/>
        <v/>
      </c>
      <c r="AD47" s="44" t="str">
        <f t="shared" ca="1" si="20"/>
        <v/>
      </c>
      <c r="AE47" s="44" t="str">
        <f t="shared" ca="1" si="21"/>
        <v/>
      </c>
      <c r="AF47" s="44" t="str">
        <f t="shared" ca="1" si="22"/>
        <v/>
      </c>
      <c r="AG47" s="44" t="str">
        <f t="shared" ca="1" si="23"/>
        <v/>
      </c>
      <c r="AH47" s="335" t="str">
        <f t="shared" ca="1" si="24"/>
        <v/>
      </c>
      <c r="AI47" s="44" t="str">
        <f t="shared" ca="1" si="25"/>
        <v/>
      </c>
      <c r="AL47" s="44">
        <f t="shared" si="26"/>
        <v>0</v>
      </c>
      <c r="AM47" s="44">
        <f t="shared" si="27"/>
        <v>40</v>
      </c>
      <c r="AN47" s="44" t="str">
        <f t="shared" ca="1" si="28"/>
        <v/>
      </c>
      <c r="AO47" s="44" t="str">
        <f t="shared" si="29"/>
        <v/>
      </c>
      <c r="AP47" s="44" t="str">
        <f t="shared" si="30"/>
        <v/>
      </c>
      <c r="AQ47" s="44" t="str">
        <f t="shared" ca="1" si="31"/>
        <v/>
      </c>
    </row>
    <row r="48" spans="1:43" ht="21.95" customHeight="1" x14ac:dyDescent="0.4">
      <c r="A48" s="167">
        <v>41</v>
      </c>
      <c r="B48" s="133"/>
      <c r="C48" s="133"/>
      <c r="D48" s="315"/>
      <c r="E48" s="329"/>
      <c r="F48" s="316"/>
      <c r="G48" s="175" t="str">
        <f>IF(AND($B48&lt;&gt;"",$C48=""),リスト!$Y$12,IF($U48&gt;0,リスト!$Y$11,IF(OR($S48&gt;0,$T48&gt;0),リスト!$Y$10,IF($V48&gt;0,リスト!$Y$13,IF($W48&gt;0,リスト!$Y$14,IF($X48&gt;0,リスト!$Y$15,""))))))</f>
        <v/>
      </c>
      <c r="H48" s="176" t="str">
        <f>IF($L48&lt;&gt;"",COUNTIF(エントリー!$V$8:$V$87,$K48),"")</f>
        <v/>
      </c>
      <c r="K48" s="44">
        <f t="shared" si="32"/>
        <v>41</v>
      </c>
      <c r="L48" s="44" t="str">
        <f t="shared" si="5"/>
        <v/>
      </c>
      <c r="M48" s="44" t="str">
        <f t="shared" si="6"/>
        <v/>
      </c>
      <c r="N48" s="44">
        <f t="shared" si="7"/>
        <v>41</v>
      </c>
      <c r="O48" s="44" t="str">
        <f t="shared" si="8"/>
        <v/>
      </c>
      <c r="P48" s="44" t="str">
        <f t="shared" si="9"/>
        <v/>
      </c>
      <c r="Q48" s="44" t="str">
        <f t="shared" si="10"/>
        <v/>
      </c>
      <c r="R48" s="44" t="str">
        <f>IF($Q48&lt;&gt;"",IFERROR(VLOOKUP(LEFT($Q48,3),'ISO3166-1'!$A$2:$B$250,2,FALSE),"不明("&amp;LEFT($Q48,3)&amp;")"),"")</f>
        <v/>
      </c>
      <c r="S48" s="44">
        <f t="shared" si="11"/>
        <v>0</v>
      </c>
      <c r="T48" s="44">
        <f t="shared" si="12"/>
        <v>0</v>
      </c>
      <c r="U48" s="44">
        <f t="shared" si="13"/>
        <v>0</v>
      </c>
      <c r="V48" s="44">
        <f t="shared" si="14"/>
        <v>0</v>
      </c>
      <c r="W48" s="44">
        <f t="shared" si="15"/>
        <v>0</v>
      </c>
      <c r="X48" s="44">
        <f t="shared" si="16"/>
        <v>0</v>
      </c>
      <c r="AA48" s="44" t="str">
        <f t="shared" ca="1" si="17"/>
        <v/>
      </c>
      <c r="AB48" s="44" t="str">
        <f t="shared" ca="1" si="18"/>
        <v/>
      </c>
      <c r="AC48" s="44" t="str">
        <f t="shared" ca="1" si="19"/>
        <v/>
      </c>
      <c r="AD48" s="44" t="str">
        <f t="shared" ca="1" si="20"/>
        <v/>
      </c>
      <c r="AE48" s="44" t="str">
        <f t="shared" ca="1" si="21"/>
        <v/>
      </c>
      <c r="AF48" s="44" t="str">
        <f t="shared" ca="1" si="22"/>
        <v/>
      </c>
      <c r="AG48" s="44" t="str">
        <f t="shared" ca="1" si="23"/>
        <v/>
      </c>
      <c r="AH48" s="335" t="str">
        <f t="shared" ca="1" si="24"/>
        <v/>
      </c>
      <c r="AI48" s="44" t="str">
        <f t="shared" ca="1" si="25"/>
        <v/>
      </c>
      <c r="AL48" s="44">
        <f t="shared" si="26"/>
        <v>0</v>
      </c>
      <c r="AM48" s="44">
        <f t="shared" si="27"/>
        <v>41</v>
      </c>
      <c r="AN48" s="44" t="str">
        <f t="shared" ca="1" si="28"/>
        <v/>
      </c>
      <c r="AO48" s="44" t="str">
        <f t="shared" si="29"/>
        <v/>
      </c>
      <c r="AP48" s="44" t="str">
        <f t="shared" si="30"/>
        <v/>
      </c>
      <c r="AQ48" s="44" t="str">
        <f t="shared" ca="1" si="31"/>
        <v/>
      </c>
    </row>
    <row r="49" spans="1:43" ht="21.95" customHeight="1" x14ac:dyDescent="0.4">
      <c r="A49" s="167">
        <v>42</v>
      </c>
      <c r="B49" s="133"/>
      <c r="C49" s="133"/>
      <c r="D49" s="315"/>
      <c r="E49" s="329"/>
      <c r="F49" s="316"/>
      <c r="G49" s="175" t="str">
        <f>IF(AND($B49&lt;&gt;"",$C49=""),リスト!$Y$12,IF($U49&gt;0,リスト!$Y$11,IF(OR($S49&gt;0,$T49&gt;0),リスト!$Y$10,IF($V49&gt;0,リスト!$Y$13,IF($W49&gt;0,リスト!$Y$14,IF($X49&gt;0,リスト!$Y$15,""))))))</f>
        <v/>
      </c>
      <c r="H49" s="176" t="str">
        <f>IF($L49&lt;&gt;"",COUNTIF(エントリー!$V$8:$V$87,$K49),"")</f>
        <v/>
      </c>
      <c r="K49" s="44">
        <f t="shared" si="32"/>
        <v>42</v>
      </c>
      <c r="L49" s="44" t="str">
        <f t="shared" si="5"/>
        <v/>
      </c>
      <c r="M49" s="44" t="str">
        <f t="shared" si="6"/>
        <v/>
      </c>
      <c r="N49" s="44">
        <f t="shared" si="7"/>
        <v>42</v>
      </c>
      <c r="O49" s="44" t="str">
        <f t="shared" si="8"/>
        <v/>
      </c>
      <c r="P49" s="44" t="str">
        <f t="shared" si="9"/>
        <v/>
      </c>
      <c r="Q49" s="44" t="str">
        <f t="shared" si="10"/>
        <v/>
      </c>
      <c r="R49" s="44" t="str">
        <f>IF($Q49&lt;&gt;"",IFERROR(VLOOKUP(LEFT($Q49,3),'ISO3166-1'!$A$2:$B$250,2,FALSE),"不明("&amp;LEFT($Q49,3)&amp;")"),"")</f>
        <v/>
      </c>
      <c r="S49" s="44">
        <f t="shared" si="11"/>
        <v>0</v>
      </c>
      <c r="T49" s="44">
        <f t="shared" si="12"/>
        <v>0</v>
      </c>
      <c r="U49" s="44">
        <f t="shared" si="13"/>
        <v>0</v>
      </c>
      <c r="V49" s="44">
        <f t="shared" si="14"/>
        <v>0</v>
      </c>
      <c r="W49" s="44">
        <f t="shared" si="15"/>
        <v>0</v>
      </c>
      <c r="X49" s="44">
        <f t="shared" si="16"/>
        <v>0</v>
      </c>
      <c r="AA49" s="44" t="str">
        <f t="shared" ca="1" si="17"/>
        <v/>
      </c>
      <c r="AB49" s="44" t="str">
        <f t="shared" ca="1" si="18"/>
        <v/>
      </c>
      <c r="AC49" s="44" t="str">
        <f t="shared" ca="1" si="19"/>
        <v/>
      </c>
      <c r="AD49" s="44" t="str">
        <f t="shared" ca="1" si="20"/>
        <v/>
      </c>
      <c r="AE49" s="44" t="str">
        <f t="shared" ca="1" si="21"/>
        <v/>
      </c>
      <c r="AF49" s="44" t="str">
        <f t="shared" ca="1" si="22"/>
        <v/>
      </c>
      <c r="AG49" s="44" t="str">
        <f t="shared" ca="1" si="23"/>
        <v/>
      </c>
      <c r="AH49" s="335" t="str">
        <f t="shared" ca="1" si="24"/>
        <v/>
      </c>
      <c r="AI49" s="44" t="str">
        <f t="shared" ca="1" si="25"/>
        <v/>
      </c>
      <c r="AL49" s="44">
        <f t="shared" si="26"/>
        <v>0</v>
      </c>
      <c r="AM49" s="44">
        <f t="shared" si="27"/>
        <v>42</v>
      </c>
      <c r="AN49" s="44" t="str">
        <f t="shared" ca="1" si="28"/>
        <v/>
      </c>
      <c r="AO49" s="44" t="str">
        <f t="shared" si="29"/>
        <v/>
      </c>
      <c r="AP49" s="44" t="str">
        <f t="shared" si="30"/>
        <v/>
      </c>
      <c r="AQ49" s="44" t="str">
        <f t="shared" ca="1" si="31"/>
        <v/>
      </c>
    </row>
    <row r="50" spans="1:43" ht="21.95" customHeight="1" x14ac:dyDescent="0.4">
      <c r="A50" s="167">
        <v>43</v>
      </c>
      <c r="B50" s="133"/>
      <c r="C50" s="133"/>
      <c r="D50" s="315"/>
      <c r="E50" s="329"/>
      <c r="F50" s="316"/>
      <c r="G50" s="175" t="str">
        <f>IF(AND($B50&lt;&gt;"",$C50=""),リスト!$Y$12,IF($U50&gt;0,リスト!$Y$11,IF(OR($S50&gt;0,$T50&gt;0),リスト!$Y$10,IF($V50&gt;0,リスト!$Y$13,IF($W50&gt;0,リスト!$Y$14,IF($X50&gt;0,リスト!$Y$15,""))))))</f>
        <v/>
      </c>
      <c r="H50" s="176" t="str">
        <f>IF($L50&lt;&gt;"",COUNTIF(エントリー!$V$8:$V$87,$K50),"")</f>
        <v/>
      </c>
      <c r="K50" s="44">
        <f t="shared" si="32"/>
        <v>43</v>
      </c>
      <c r="L50" s="44" t="str">
        <f t="shared" si="5"/>
        <v/>
      </c>
      <c r="M50" s="44" t="str">
        <f t="shared" si="6"/>
        <v/>
      </c>
      <c r="N50" s="44">
        <f t="shared" si="7"/>
        <v>43</v>
      </c>
      <c r="O50" s="44" t="str">
        <f t="shared" si="8"/>
        <v/>
      </c>
      <c r="P50" s="44" t="str">
        <f t="shared" si="9"/>
        <v/>
      </c>
      <c r="Q50" s="44" t="str">
        <f t="shared" si="10"/>
        <v/>
      </c>
      <c r="R50" s="44" t="str">
        <f>IF($Q50&lt;&gt;"",IFERROR(VLOOKUP(LEFT($Q50,3),'ISO3166-1'!$A$2:$B$250,2,FALSE),"不明("&amp;LEFT($Q50,3)&amp;")"),"")</f>
        <v/>
      </c>
      <c r="S50" s="44">
        <f t="shared" si="11"/>
        <v>0</v>
      </c>
      <c r="T50" s="44">
        <f t="shared" si="12"/>
        <v>0</v>
      </c>
      <c r="U50" s="44">
        <f t="shared" si="13"/>
        <v>0</v>
      </c>
      <c r="V50" s="44">
        <f t="shared" si="14"/>
        <v>0</v>
      </c>
      <c r="W50" s="44">
        <f t="shared" si="15"/>
        <v>0</v>
      </c>
      <c r="X50" s="44">
        <f t="shared" si="16"/>
        <v>0</v>
      </c>
      <c r="AA50" s="44" t="str">
        <f t="shared" ca="1" si="17"/>
        <v/>
      </c>
      <c r="AB50" s="44" t="str">
        <f t="shared" ca="1" si="18"/>
        <v/>
      </c>
      <c r="AC50" s="44" t="str">
        <f t="shared" ca="1" si="19"/>
        <v/>
      </c>
      <c r="AD50" s="44" t="str">
        <f t="shared" ca="1" si="20"/>
        <v/>
      </c>
      <c r="AE50" s="44" t="str">
        <f t="shared" ca="1" si="21"/>
        <v/>
      </c>
      <c r="AF50" s="44" t="str">
        <f t="shared" ca="1" si="22"/>
        <v/>
      </c>
      <c r="AG50" s="44" t="str">
        <f t="shared" ca="1" si="23"/>
        <v/>
      </c>
      <c r="AH50" s="335" t="str">
        <f t="shared" ca="1" si="24"/>
        <v/>
      </c>
      <c r="AI50" s="44" t="str">
        <f t="shared" ca="1" si="25"/>
        <v/>
      </c>
      <c r="AL50" s="44">
        <f t="shared" si="26"/>
        <v>0</v>
      </c>
      <c r="AM50" s="44">
        <f t="shared" si="27"/>
        <v>43</v>
      </c>
      <c r="AN50" s="44" t="str">
        <f t="shared" ca="1" si="28"/>
        <v/>
      </c>
      <c r="AO50" s="44" t="str">
        <f t="shared" si="29"/>
        <v/>
      </c>
      <c r="AP50" s="44" t="str">
        <f t="shared" si="30"/>
        <v/>
      </c>
      <c r="AQ50" s="44" t="str">
        <f t="shared" ca="1" si="31"/>
        <v/>
      </c>
    </row>
    <row r="51" spans="1:43" ht="21.95" customHeight="1" x14ac:dyDescent="0.4">
      <c r="A51" s="167">
        <v>44</v>
      </c>
      <c r="B51" s="133"/>
      <c r="C51" s="133"/>
      <c r="D51" s="315"/>
      <c r="E51" s="329"/>
      <c r="F51" s="316"/>
      <c r="G51" s="175" t="str">
        <f>IF(AND($B51&lt;&gt;"",$C51=""),リスト!$Y$12,IF($U51&gt;0,リスト!$Y$11,IF(OR($S51&gt;0,$T51&gt;0),リスト!$Y$10,IF($V51&gt;0,リスト!$Y$13,IF($W51&gt;0,リスト!$Y$14,IF($X51&gt;0,リスト!$Y$15,""))))))</f>
        <v/>
      </c>
      <c r="H51" s="176" t="str">
        <f>IF($L51&lt;&gt;"",COUNTIF(エントリー!$V$8:$V$87,$K51),"")</f>
        <v/>
      </c>
      <c r="K51" s="44">
        <f t="shared" si="32"/>
        <v>44</v>
      </c>
      <c r="L51" s="44" t="str">
        <f t="shared" si="5"/>
        <v/>
      </c>
      <c r="M51" s="44" t="str">
        <f t="shared" si="6"/>
        <v/>
      </c>
      <c r="N51" s="44">
        <f t="shared" si="7"/>
        <v>44</v>
      </c>
      <c r="O51" s="44" t="str">
        <f t="shared" si="8"/>
        <v/>
      </c>
      <c r="P51" s="44" t="str">
        <f t="shared" si="9"/>
        <v/>
      </c>
      <c r="Q51" s="44" t="str">
        <f t="shared" si="10"/>
        <v/>
      </c>
      <c r="R51" s="44" t="str">
        <f>IF($Q51&lt;&gt;"",IFERROR(VLOOKUP(LEFT($Q51,3),'ISO3166-1'!$A$2:$B$250,2,FALSE),"不明("&amp;LEFT($Q51,3)&amp;")"),"")</f>
        <v/>
      </c>
      <c r="S51" s="44">
        <f t="shared" si="11"/>
        <v>0</v>
      </c>
      <c r="T51" s="44">
        <f t="shared" si="12"/>
        <v>0</v>
      </c>
      <c r="U51" s="44">
        <f t="shared" si="13"/>
        <v>0</v>
      </c>
      <c r="V51" s="44">
        <f t="shared" si="14"/>
        <v>0</v>
      </c>
      <c r="W51" s="44">
        <f t="shared" si="15"/>
        <v>0</v>
      </c>
      <c r="X51" s="44">
        <f t="shared" si="16"/>
        <v>0</v>
      </c>
      <c r="AA51" s="44" t="str">
        <f t="shared" ca="1" si="17"/>
        <v/>
      </c>
      <c r="AB51" s="44" t="str">
        <f t="shared" ca="1" si="18"/>
        <v/>
      </c>
      <c r="AC51" s="44" t="str">
        <f t="shared" ca="1" si="19"/>
        <v/>
      </c>
      <c r="AD51" s="44" t="str">
        <f t="shared" ca="1" si="20"/>
        <v/>
      </c>
      <c r="AE51" s="44" t="str">
        <f t="shared" ca="1" si="21"/>
        <v/>
      </c>
      <c r="AF51" s="44" t="str">
        <f t="shared" ca="1" si="22"/>
        <v/>
      </c>
      <c r="AG51" s="44" t="str">
        <f t="shared" ca="1" si="23"/>
        <v/>
      </c>
      <c r="AH51" s="335" t="str">
        <f t="shared" ca="1" si="24"/>
        <v/>
      </c>
      <c r="AI51" s="44" t="str">
        <f t="shared" ca="1" si="25"/>
        <v/>
      </c>
      <c r="AL51" s="44">
        <f t="shared" si="26"/>
        <v>0</v>
      </c>
      <c r="AM51" s="44">
        <f t="shared" si="27"/>
        <v>44</v>
      </c>
      <c r="AN51" s="44" t="str">
        <f t="shared" ca="1" si="28"/>
        <v/>
      </c>
      <c r="AO51" s="44" t="str">
        <f t="shared" si="29"/>
        <v/>
      </c>
      <c r="AP51" s="44" t="str">
        <f t="shared" si="30"/>
        <v/>
      </c>
      <c r="AQ51" s="44" t="str">
        <f t="shared" ca="1" si="31"/>
        <v/>
      </c>
    </row>
    <row r="52" spans="1:43" ht="21.95" customHeight="1" x14ac:dyDescent="0.4">
      <c r="A52" s="167">
        <v>45</v>
      </c>
      <c r="B52" s="133"/>
      <c r="C52" s="133"/>
      <c r="D52" s="315"/>
      <c r="E52" s="329"/>
      <c r="F52" s="316"/>
      <c r="G52" s="175" t="str">
        <f>IF(AND($B52&lt;&gt;"",$C52=""),リスト!$Y$12,IF($U52&gt;0,リスト!$Y$11,IF(OR($S52&gt;0,$T52&gt;0),リスト!$Y$10,IF($V52&gt;0,リスト!$Y$13,IF($W52&gt;0,リスト!$Y$14,IF($X52&gt;0,リスト!$Y$15,""))))))</f>
        <v/>
      </c>
      <c r="H52" s="176" t="str">
        <f>IF($L52&lt;&gt;"",COUNTIF(エントリー!$V$8:$V$87,$K52),"")</f>
        <v/>
      </c>
      <c r="K52" s="44">
        <f t="shared" si="32"/>
        <v>45</v>
      </c>
      <c r="L52" s="44" t="str">
        <f t="shared" si="5"/>
        <v/>
      </c>
      <c r="M52" s="44" t="str">
        <f t="shared" si="6"/>
        <v/>
      </c>
      <c r="N52" s="44">
        <f t="shared" si="7"/>
        <v>45</v>
      </c>
      <c r="O52" s="44" t="str">
        <f t="shared" si="8"/>
        <v/>
      </c>
      <c r="P52" s="44" t="str">
        <f t="shared" si="9"/>
        <v/>
      </c>
      <c r="Q52" s="44" t="str">
        <f t="shared" si="10"/>
        <v/>
      </c>
      <c r="R52" s="44" t="str">
        <f>IF($Q52&lt;&gt;"",IFERROR(VLOOKUP(LEFT($Q52,3),'ISO3166-1'!$A$2:$B$250,2,FALSE),"不明("&amp;LEFT($Q52,3)&amp;")"),"")</f>
        <v/>
      </c>
      <c r="S52" s="44">
        <f t="shared" si="11"/>
        <v>0</v>
      </c>
      <c r="T52" s="44">
        <f t="shared" si="12"/>
        <v>0</v>
      </c>
      <c r="U52" s="44">
        <f t="shared" si="13"/>
        <v>0</v>
      </c>
      <c r="V52" s="44">
        <f t="shared" si="14"/>
        <v>0</v>
      </c>
      <c r="W52" s="44">
        <f t="shared" si="15"/>
        <v>0</v>
      </c>
      <c r="X52" s="44">
        <f t="shared" si="16"/>
        <v>0</v>
      </c>
      <c r="AA52" s="44" t="str">
        <f t="shared" ca="1" si="17"/>
        <v/>
      </c>
      <c r="AB52" s="44" t="str">
        <f t="shared" ca="1" si="18"/>
        <v/>
      </c>
      <c r="AC52" s="44" t="str">
        <f t="shared" ca="1" si="19"/>
        <v/>
      </c>
      <c r="AD52" s="44" t="str">
        <f t="shared" ca="1" si="20"/>
        <v/>
      </c>
      <c r="AE52" s="44" t="str">
        <f t="shared" ca="1" si="21"/>
        <v/>
      </c>
      <c r="AF52" s="44" t="str">
        <f t="shared" ca="1" si="22"/>
        <v/>
      </c>
      <c r="AG52" s="44" t="str">
        <f t="shared" ca="1" si="23"/>
        <v/>
      </c>
      <c r="AH52" s="335" t="str">
        <f t="shared" ca="1" si="24"/>
        <v/>
      </c>
      <c r="AI52" s="44" t="str">
        <f t="shared" ca="1" si="25"/>
        <v/>
      </c>
      <c r="AL52" s="44">
        <f t="shared" si="26"/>
        <v>0</v>
      </c>
      <c r="AM52" s="44">
        <f t="shared" si="27"/>
        <v>45</v>
      </c>
      <c r="AN52" s="44" t="str">
        <f t="shared" ca="1" si="28"/>
        <v/>
      </c>
      <c r="AO52" s="44" t="str">
        <f t="shared" si="29"/>
        <v/>
      </c>
      <c r="AP52" s="44" t="str">
        <f t="shared" si="30"/>
        <v/>
      </c>
      <c r="AQ52" s="44" t="str">
        <f t="shared" ca="1" si="31"/>
        <v/>
      </c>
    </row>
    <row r="53" spans="1:43" ht="21.95" customHeight="1" x14ac:dyDescent="0.4">
      <c r="A53" s="167">
        <v>46</v>
      </c>
      <c r="B53" s="133"/>
      <c r="C53" s="133"/>
      <c r="D53" s="315"/>
      <c r="E53" s="329"/>
      <c r="F53" s="316"/>
      <c r="G53" s="175" t="str">
        <f>IF(AND($B53&lt;&gt;"",$C53=""),リスト!$Y$12,IF($U53&gt;0,リスト!$Y$11,IF(OR($S53&gt;0,$T53&gt;0),リスト!$Y$10,IF($V53&gt;0,リスト!$Y$13,IF($W53&gt;0,リスト!$Y$14,IF($X53&gt;0,リスト!$Y$15,""))))))</f>
        <v/>
      </c>
      <c r="H53" s="176" t="str">
        <f>IF($L53&lt;&gt;"",COUNTIF(エントリー!$V$8:$V$87,$K53),"")</f>
        <v/>
      </c>
      <c r="K53" s="44">
        <f t="shared" si="32"/>
        <v>46</v>
      </c>
      <c r="L53" s="44" t="str">
        <f t="shared" si="5"/>
        <v/>
      </c>
      <c r="M53" s="44" t="str">
        <f t="shared" si="6"/>
        <v/>
      </c>
      <c r="N53" s="44">
        <f t="shared" si="7"/>
        <v>46</v>
      </c>
      <c r="O53" s="44" t="str">
        <f t="shared" si="8"/>
        <v/>
      </c>
      <c r="P53" s="44" t="str">
        <f t="shared" si="9"/>
        <v/>
      </c>
      <c r="Q53" s="44" t="str">
        <f t="shared" si="10"/>
        <v/>
      </c>
      <c r="R53" s="44" t="str">
        <f>IF($Q53&lt;&gt;"",IFERROR(VLOOKUP(LEFT($Q53,3),'ISO3166-1'!$A$2:$B$250,2,FALSE),"不明("&amp;LEFT($Q53,3)&amp;")"),"")</f>
        <v/>
      </c>
      <c r="S53" s="44">
        <f t="shared" si="11"/>
        <v>0</v>
      </c>
      <c r="T53" s="44">
        <f t="shared" si="12"/>
        <v>0</v>
      </c>
      <c r="U53" s="44">
        <f t="shared" si="13"/>
        <v>0</v>
      </c>
      <c r="V53" s="44">
        <f t="shared" si="14"/>
        <v>0</v>
      </c>
      <c r="W53" s="44">
        <f t="shared" si="15"/>
        <v>0</v>
      </c>
      <c r="X53" s="44">
        <f t="shared" si="16"/>
        <v>0</v>
      </c>
      <c r="AA53" s="44" t="str">
        <f t="shared" ca="1" si="17"/>
        <v/>
      </c>
      <c r="AB53" s="44" t="str">
        <f t="shared" ca="1" si="18"/>
        <v/>
      </c>
      <c r="AC53" s="44" t="str">
        <f t="shared" ca="1" si="19"/>
        <v/>
      </c>
      <c r="AD53" s="44" t="str">
        <f t="shared" ca="1" si="20"/>
        <v/>
      </c>
      <c r="AE53" s="44" t="str">
        <f t="shared" ca="1" si="21"/>
        <v/>
      </c>
      <c r="AF53" s="44" t="str">
        <f t="shared" ca="1" si="22"/>
        <v/>
      </c>
      <c r="AG53" s="44" t="str">
        <f t="shared" ca="1" si="23"/>
        <v/>
      </c>
      <c r="AH53" s="335" t="str">
        <f t="shared" ca="1" si="24"/>
        <v/>
      </c>
      <c r="AI53" s="44" t="str">
        <f t="shared" ca="1" si="25"/>
        <v/>
      </c>
      <c r="AL53" s="44">
        <f t="shared" si="26"/>
        <v>0</v>
      </c>
      <c r="AM53" s="44">
        <f t="shared" si="27"/>
        <v>46</v>
      </c>
      <c r="AN53" s="44" t="str">
        <f t="shared" ca="1" si="28"/>
        <v/>
      </c>
      <c r="AO53" s="44" t="str">
        <f t="shared" si="29"/>
        <v/>
      </c>
      <c r="AP53" s="44" t="str">
        <f t="shared" si="30"/>
        <v/>
      </c>
      <c r="AQ53" s="44" t="str">
        <f t="shared" ca="1" si="31"/>
        <v/>
      </c>
    </row>
    <row r="54" spans="1:43" ht="21.95" customHeight="1" x14ac:dyDescent="0.4">
      <c r="A54" s="167">
        <v>47</v>
      </c>
      <c r="B54" s="133"/>
      <c r="C54" s="133"/>
      <c r="D54" s="315"/>
      <c r="E54" s="329"/>
      <c r="F54" s="316"/>
      <c r="G54" s="175" t="str">
        <f>IF(AND($B54&lt;&gt;"",$C54=""),リスト!$Y$12,IF($U54&gt;0,リスト!$Y$11,IF(OR($S54&gt;0,$T54&gt;0),リスト!$Y$10,IF($V54&gt;0,リスト!$Y$13,IF($W54&gt;0,リスト!$Y$14,IF($X54&gt;0,リスト!$Y$15,""))))))</f>
        <v/>
      </c>
      <c r="H54" s="176" t="str">
        <f>IF($L54&lt;&gt;"",COUNTIF(エントリー!$V$8:$V$87,$K54),"")</f>
        <v/>
      </c>
      <c r="K54" s="44">
        <f t="shared" si="32"/>
        <v>47</v>
      </c>
      <c r="L54" s="44" t="str">
        <f t="shared" si="5"/>
        <v/>
      </c>
      <c r="M54" s="44" t="str">
        <f t="shared" si="6"/>
        <v/>
      </c>
      <c r="N54" s="44">
        <f t="shared" si="7"/>
        <v>47</v>
      </c>
      <c r="O54" s="44" t="str">
        <f t="shared" si="8"/>
        <v/>
      </c>
      <c r="P54" s="44" t="str">
        <f t="shared" si="9"/>
        <v/>
      </c>
      <c r="Q54" s="44" t="str">
        <f t="shared" si="10"/>
        <v/>
      </c>
      <c r="R54" s="44" t="str">
        <f>IF($Q54&lt;&gt;"",IFERROR(VLOOKUP(LEFT($Q54,3),'ISO3166-1'!$A$2:$B$250,2,FALSE),"不明("&amp;LEFT($Q54,3)&amp;")"),"")</f>
        <v/>
      </c>
      <c r="S54" s="44">
        <f t="shared" si="11"/>
        <v>0</v>
      </c>
      <c r="T54" s="44">
        <f t="shared" si="12"/>
        <v>0</v>
      </c>
      <c r="U54" s="44">
        <f t="shared" si="13"/>
        <v>0</v>
      </c>
      <c r="V54" s="44">
        <f t="shared" si="14"/>
        <v>0</v>
      </c>
      <c r="W54" s="44">
        <f t="shared" si="15"/>
        <v>0</v>
      </c>
      <c r="X54" s="44">
        <f t="shared" si="16"/>
        <v>0</v>
      </c>
      <c r="AA54" s="44" t="str">
        <f t="shared" ca="1" si="17"/>
        <v/>
      </c>
      <c r="AB54" s="44" t="str">
        <f t="shared" ca="1" si="18"/>
        <v/>
      </c>
      <c r="AC54" s="44" t="str">
        <f t="shared" ca="1" si="19"/>
        <v/>
      </c>
      <c r="AD54" s="44" t="str">
        <f t="shared" ca="1" si="20"/>
        <v/>
      </c>
      <c r="AE54" s="44" t="str">
        <f t="shared" ca="1" si="21"/>
        <v/>
      </c>
      <c r="AF54" s="44" t="str">
        <f t="shared" ca="1" si="22"/>
        <v/>
      </c>
      <c r="AG54" s="44" t="str">
        <f t="shared" ca="1" si="23"/>
        <v/>
      </c>
      <c r="AH54" s="335" t="str">
        <f t="shared" ca="1" si="24"/>
        <v/>
      </c>
      <c r="AI54" s="44" t="str">
        <f t="shared" ca="1" si="25"/>
        <v/>
      </c>
      <c r="AL54" s="44">
        <f t="shared" si="26"/>
        <v>0</v>
      </c>
      <c r="AM54" s="44">
        <f t="shared" si="27"/>
        <v>47</v>
      </c>
      <c r="AN54" s="44" t="str">
        <f t="shared" ca="1" si="28"/>
        <v/>
      </c>
      <c r="AO54" s="44" t="str">
        <f t="shared" si="29"/>
        <v/>
      </c>
      <c r="AP54" s="44" t="str">
        <f t="shared" si="30"/>
        <v/>
      </c>
      <c r="AQ54" s="44" t="str">
        <f t="shared" ca="1" si="31"/>
        <v/>
      </c>
    </row>
    <row r="55" spans="1:43" x14ac:dyDescent="0.4">
      <c r="A55" s="167">
        <v>48</v>
      </c>
      <c r="B55" s="133"/>
      <c r="C55" s="133"/>
      <c r="D55" s="315"/>
      <c r="E55" s="329"/>
      <c r="F55" s="316"/>
      <c r="G55" s="175" t="str">
        <f>IF(AND($B55&lt;&gt;"",$C55=""),リスト!$Y$12,IF($U55&gt;0,リスト!$Y$11,IF(OR($S55&gt;0,$T55&gt;0),リスト!$Y$10,IF($V55&gt;0,リスト!$Y$13,IF($W55&gt;0,リスト!$Y$14,IF($X55&gt;0,リスト!$Y$15,""))))))</f>
        <v/>
      </c>
      <c r="H55" s="176" t="str">
        <f>IF($L55&lt;&gt;"",COUNTIF(エントリー!$V$8:$V$87,$K55),"")</f>
        <v/>
      </c>
      <c r="K55" s="44">
        <f t="shared" si="32"/>
        <v>48</v>
      </c>
      <c r="L55" s="44" t="str">
        <f t="shared" si="5"/>
        <v/>
      </c>
      <c r="M55" s="44" t="str">
        <f t="shared" si="6"/>
        <v/>
      </c>
      <c r="N55" s="44">
        <f t="shared" si="7"/>
        <v>48</v>
      </c>
      <c r="O55" s="44" t="str">
        <f t="shared" si="8"/>
        <v/>
      </c>
      <c r="P55" s="44" t="str">
        <f t="shared" si="9"/>
        <v/>
      </c>
      <c r="Q55" s="44" t="str">
        <f t="shared" si="10"/>
        <v/>
      </c>
      <c r="R55" s="44" t="str">
        <f>IF($Q55&lt;&gt;"",IFERROR(VLOOKUP(LEFT($Q55,3),'ISO3166-1'!$A$2:$B$250,2,FALSE),"不明("&amp;LEFT($Q55,3)&amp;")"),"")</f>
        <v/>
      </c>
      <c r="S55" s="44">
        <f t="shared" si="11"/>
        <v>0</v>
      </c>
      <c r="T55" s="44">
        <f t="shared" si="12"/>
        <v>0</v>
      </c>
      <c r="U55" s="44">
        <f t="shared" si="13"/>
        <v>0</v>
      </c>
      <c r="V55" s="44">
        <f t="shared" si="14"/>
        <v>0</v>
      </c>
      <c r="W55" s="44">
        <f t="shared" si="15"/>
        <v>0</v>
      </c>
      <c r="X55" s="44">
        <f t="shared" si="16"/>
        <v>0</v>
      </c>
      <c r="AA55" s="44" t="str">
        <f t="shared" ca="1" si="17"/>
        <v/>
      </c>
      <c r="AB55" s="44" t="str">
        <f t="shared" ca="1" si="18"/>
        <v/>
      </c>
      <c r="AC55" s="44" t="str">
        <f t="shared" ca="1" si="19"/>
        <v/>
      </c>
      <c r="AD55" s="44" t="str">
        <f t="shared" ca="1" si="20"/>
        <v/>
      </c>
      <c r="AE55" s="44" t="str">
        <f t="shared" ca="1" si="21"/>
        <v/>
      </c>
      <c r="AF55" s="44" t="str">
        <f t="shared" ca="1" si="22"/>
        <v/>
      </c>
      <c r="AG55" s="44" t="str">
        <f t="shared" ca="1" si="23"/>
        <v/>
      </c>
      <c r="AH55" s="335" t="str">
        <f t="shared" ca="1" si="24"/>
        <v/>
      </c>
      <c r="AI55" s="44" t="str">
        <f t="shared" ca="1" si="25"/>
        <v/>
      </c>
      <c r="AL55" s="44">
        <f t="shared" si="26"/>
        <v>0</v>
      </c>
      <c r="AM55" s="44">
        <f t="shared" si="27"/>
        <v>48</v>
      </c>
      <c r="AN55" s="44" t="str">
        <f t="shared" ca="1" si="28"/>
        <v/>
      </c>
      <c r="AO55" s="44" t="str">
        <f t="shared" si="29"/>
        <v/>
      </c>
      <c r="AP55" s="44" t="str">
        <f t="shared" si="30"/>
        <v/>
      </c>
      <c r="AQ55" s="44" t="str">
        <f t="shared" ca="1" si="31"/>
        <v/>
      </c>
    </row>
    <row r="56" spans="1:43" x14ac:dyDescent="0.4">
      <c r="A56" s="167">
        <v>49</v>
      </c>
      <c r="B56" s="133"/>
      <c r="C56" s="133"/>
      <c r="D56" s="315"/>
      <c r="E56" s="329"/>
      <c r="F56" s="316"/>
      <c r="G56" s="175" t="str">
        <f>IF(AND($B56&lt;&gt;"",$C56=""),リスト!$Y$12,IF($U56&gt;0,リスト!$Y$11,IF(OR($S56&gt;0,$T56&gt;0),リスト!$Y$10,IF($V56&gt;0,リスト!$Y$13,IF($W56&gt;0,リスト!$Y$14,IF($X56&gt;0,リスト!$Y$15,""))))))</f>
        <v/>
      </c>
      <c r="H56" s="176" t="str">
        <f>IF($L56&lt;&gt;"",COUNTIF(エントリー!$V$8:$V$87,$K56),"")</f>
        <v/>
      </c>
      <c r="K56" s="44">
        <f t="shared" si="32"/>
        <v>49</v>
      </c>
      <c r="L56" s="44" t="str">
        <f t="shared" si="5"/>
        <v/>
      </c>
      <c r="M56" s="44" t="str">
        <f t="shared" si="6"/>
        <v/>
      </c>
      <c r="N56" s="44">
        <f t="shared" si="7"/>
        <v>49</v>
      </c>
      <c r="O56" s="44" t="str">
        <f t="shared" si="8"/>
        <v/>
      </c>
      <c r="P56" s="44" t="str">
        <f t="shared" si="9"/>
        <v/>
      </c>
      <c r="Q56" s="44" t="str">
        <f t="shared" si="10"/>
        <v/>
      </c>
      <c r="R56" s="44" t="str">
        <f>IF($Q56&lt;&gt;"",IFERROR(VLOOKUP(LEFT($Q56,3),'ISO3166-1'!$A$2:$B$250,2,FALSE),"不明("&amp;LEFT($Q56,3)&amp;")"),"")</f>
        <v/>
      </c>
      <c r="S56" s="44">
        <f t="shared" si="11"/>
        <v>0</v>
      </c>
      <c r="T56" s="44">
        <f t="shared" si="12"/>
        <v>0</v>
      </c>
      <c r="U56" s="44">
        <f t="shared" si="13"/>
        <v>0</v>
      </c>
      <c r="V56" s="44">
        <f t="shared" si="14"/>
        <v>0</v>
      </c>
      <c r="W56" s="44">
        <f t="shared" si="15"/>
        <v>0</v>
      </c>
      <c r="X56" s="44">
        <f t="shared" si="16"/>
        <v>0</v>
      </c>
      <c r="AA56" s="44" t="str">
        <f t="shared" ca="1" si="17"/>
        <v/>
      </c>
      <c r="AB56" s="44" t="str">
        <f t="shared" ca="1" si="18"/>
        <v/>
      </c>
      <c r="AC56" s="44" t="str">
        <f t="shared" ca="1" si="19"/>
        <v/>
      </c>
      <c r="AD56" s="44" t="str">
        <f t="shared" ca="1" si="20"/>
        <v/>
      </c>
      <c r="AE56" s="44" t="str">
        <f t="shared" ca="1" si="21"/>
        <v/>
      </c>
      <c r="AF56" s="44" t="str">
        <f t="shared" ca="1" si="22"/>
        <v/>
      </c>
      <c r="AG56" s="44" t="str">
        <f t="shared" ca="1" si="23"/>
        <v/>
      </c>
      <c r="AH56" s="335" t="str">
        <f t="shared" ca="1" si="24"/>
        <v/>
      </c>
      <c r="AI56" s="44" t="str">
        <f t="shared" ca="1" si="25"/>
        <v/>
      </c>
      <c r="AL56" s="44">
        <f t="shared" si="26"/>
        <v>0</v>
      </c>
      <c r="AM56" s="44">
        <f t="shared" si="27"/>
        <v>49</v>
      </c>
      <c r="AN56" s="44" t="str">
        <f t="shared" ca="1" si="28"/>
        <v/>
      </c>
      <c r="AO56" s="44" t="str">
        <f t="shared" si="29"/>
        <v/>
      </c>
      <c r="AP56" s="44" t="str">
        <f t="shared" si="30"/>
        <v/>
      </c>
      <c r="AQ56" s="44" t="str">
        <f t="shared" ca="1" si="31"/>
        <v/>
      </c>
    </row>
    <row r="57" spans="1:43" ht="19.5" thickBot="1" x14ac:dyDescent="0.45">
      <c r="A57" s="123">
        <v>50</v>
      </c>
      <c r="B57" s="134"/>
      <c r="C57" s="134"/>
      <c r="D57" s="317"/>
      <c r="E57" s="330"/>
      <c r="F57" s="318"/>
      <c r="G57" s="177" t="str">
        <f>IF(AND($B57&lt;&gt;"",$C57=""),リスト!$Y$12,IF($U57&gt;0,リスト!$Y$11,IF(OR($S57&gt;0,$T57&gt;0),リスト!$Y$10,IF($V57&gt;0,リスト!$Y$13,IF($W57&gt;0,リスト!$Y$14,IF($X57&gt;0,リスト!$Y$15,""))))))</f>
        <v/>
      </c>
      <c r="H57" s="178" t="str">
        <f>IF($L57&lt;&gt;"",COUNTIF(エントリー!$V$8:$V$87,$K57),"")</f>
        <v/>
      </c>
      <c r="K57" s="44">
        <f t="shared" si="32"/>
        <v>50</v>
      </c>
      <c r="L57" s="44" t="str">
        <f t="shared" si="5"/>
        <v/>
      </c>
      <c r="M57" s="44" t="str">
        <f t="shared" si="6"/>
        <v/>
      </c>
      <c r="N57" s="44">
        <f t="shared" si="7"/>
        <v>50</v>
      </c>
      <c r="O57" s="44" t="str">
        <f t="shared" si="8"/>
        <v/>
      </c>
      <c r="P57" s="44" t="str">
        <f t="shared" si="9"/>
        <v/>
      </c>
      <c r="Q57" s="44" t="str">
        <f t="shared" si="10"/>
        <v/>
      </c>
      <c r="R57" s="44" t="str">
        <f>IF($Q57&lt;&gt;"",IFERROR(VLOOKUP(LEFT($Q57,3),'ISO3166-1'!$A$2:$B$250,2,FALSE),"不明("&amp;LEFT($Q57,3)&amp;")"),"")</f>
        <v/>
      </c>
      <c r="S57" s="44">
        <f t="shared" si="11"/>
        <v>0</v>
      </c>
      <c r="T57" s="44">
        <f t="shared" si="12"/>
        <v>0</v>
      </c>
      <c r="U57" s="44">
        <f t="shared" si="13"/>
        <v>0</v>
      </c>
      <c r="V57" s="44">
        <f t="shared" si="14"/>
        <v>0</v>
      </c>
      <c r="W57" s="44">
        <f t="shared" si="15"/>
        <v>0</v>
      </c>
      <c r="X57" s="44">
        <f t="shared" si="16"/>
        <v>0</v>
      </c>
      <c r="AA57" s="44" t="str">
        <f t="shared" ca="1" si="17"/>
        <v/>
      </c>
      <c r="AB57" s="44" t="str">
        <f t="shared" ca="1" si="18"/>
        <v/>
      </c>
      <c r="AC57" s="44" t="str">
        <f t="shared" ca="1" si="19"/>
        <v/>
      </c>
      <c r="AD57" s="44" t="str">
        <f t="shared" ca="1" si="20"/>
        <v/>
      </c>
      <c r="AE57" s="44" t="str">
        <f t="shared" ca="1" si="21"/>
        <v/>
      </c>
      <c r="AF57" s="44" t="str">
        <f t="shared" ca="1" si="22"/>
        <v/>
      </c>
      <c r="AG57" s="44" t="str">
        <f t="shared" ca="1" si="23"/>
        <v/>
      </c>
      <c r="AH57" s="335" t="str">
        <f t="shared" ca="1" si="24"/>
        <v/>
      </c>
      <c r="AI57" s="44" t="str">
        <f t="shared" ca="1" si="25"/>
        <v/>
      </c>
      <c r="AL57" s="44">
        <f t="shared" si="26"/>
        <v>0</v>
      </c>
      <c r="AM57" s="44">
        <f t="shared" si="27"/>
        <v>50</v>
      </c>
      <c r="AN57" s="44" t="str">
        <f t="shared" ca="1" si="28"/>
        <v/>
      </c>
      <c r="AO57" s="44" t="str">
        <f t="shared" si="29"/>
        <v/>
      </c>
      <c r="AP57" s="44" t="str">
        <f t="shared" si="30"/>
        <v/>
      </c>
      <c r="AQ57" s="44" t="str">
        <f t="shared" ca="1" si="31"/>
        <v/>
      </c>
    </row>
  </sheetData>
  <sheetProtection algorithmName="SHA-512" hashValue="HqSGTHxlxplc6h4CegQX9EgJeJPzFXjZm1QUR1HBcK2tk4hMCn9XGBYhFyud72lZpzhSISyKwVcIyvYXE15n6g==" saltValue="k67oEyH5z6Q0ZBu6CRhtFg==" spinCount="100000" sheet="1" objects="1" scenarios="1" autoFilter="0"/>
  <mergeCells count="7">
    <mergeCell ref="A4:B4"/>
    <mergeCell ref="D6:D7"/>
    <mergeCell ref="E6:E7"/>
    <mergeCell ref="F6:F7"/>
    <mergeCell ref="C6:C7"/>
    <mergeCell ref="B6:B7"/>
    <mergeCell ref="A6:A7"/>
  </mergeCells>
  <phoneticPr fontId="4"/>
  <printOptions horizontalCentered="1"/>
  <pageMargins left="1.5748031496062993" right="1.5748031496062993" top="0.39370078740157483" bottom="0.39370078740157483" header="0.31496062992125984" footer="0.31496062992125984"/>
  <pageSetup paperSize="9" scale="46" fitToHeight="0" orientation="landscape" horizontalDpi="1200" verticalDpi="1200" r:id="rId1"/>
  <rowBreaks count="1" manualBreakCount="1">
    <brk id="32"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pageSetUpPr fitToPage="1"/>
  </sheetPr>
  <dimension ref="A1:BC108"/>
  <sheetViews>
    <sheetView view="pageBreakPreview" zoomScale="80" zoomScaleNormal="100" zoomScaleSheetLayoutView="80" workbookViewId="0">
      <pane xSplit="2" ySplit="7" topLeftCell="C8" activePane="bottomRight" state="frozen"/>
      <selection pane="topRight" activeCell="G1" sqref="G1"/>
      <selection pane="bottomLeft" activeCell="A6" sqref="A6"/>
      <selection pane="bottomRight" activeCell="C8" sqref="C8"/>
    </sheetView>
  </sheetViews>
  <sheetFormatPr defaultRowHeight="13.5" x14ac:dyDescent="0.15"/>
  <cols>
    <col min="1" max="1" width="5.25" style="211" bestFit="1" customWidth="1"/>
    <col min="2" max="2" width="10.25" style="222" bestFit="1" customWidth="1"/>
    <col min="3" max="3" width="35.75" style="211" customWidth="1"/>
    <col min="4" max="4" width="22.375" style="211" customWidth="1"/>
    <col min="5" max="5" width="26.25" style="211" customWidth="1"/>
    <col min="6" max="6" width="33.875" style="211" customWidth="1"/>
    <col min="7" max="7" width="12" style="211" customWidth="1"/>
    <col min="8" max="8" width="8.125" style="211" customWidth="1"/>
    <col min="9" max="9" width="35.375" style="211" customWidth="1"/>
    <col min="10" max="10" width="50.25" style="211" customWidth="1"/>
    <col min="11" max="12" width="12.75" style="211" customWidth="1"/>
    <col min="13" max="13" width="9" style="211" hidden="1" customWidth="1"/>
    <col min="14" max="26" width="5.25" style="211" hidden="1" customWidth="1"/>
    <col min="27" max="27" width="7" style="211" hidden="1" customWidth="1"/>
    <col min="28" max="30" width="5.25" style="211" hidden="1" customWidth="1"/>
    <col min="31" max="31" width="6.5" style="211" hidden="1" customWidth="1"/>
    <col min="32" max="32" width="6.125" style="211" hidden="1" customWidth="1"/>
    <col min="33" max="36" width="6.75" style="211" hidden="1" customWidth="1"/>
    <col min="37" max="37" width="7.25" style="211" hidden="1" customWidth="1"/>
    <col min="38" max="38" width="6.75" style="211" hidden="1" customWidth="1"/>
    <col min="39" max="40" width="18.375" style="211" hidden="1" customWidth="1"/>
    <col min="41" max="41" width="5.5" style="211" hidden="1" customWidth="1"/>
    <col min="42" max="43" width="5.625" style="211" hidden="1" customWidth="1"/>
    <col min="44" max="44" width="3.75" style="211" hidden="1" customWidth="1"/>
    <col min="45" max="45" width="5.625" style="211" hidden="1" customWidth="1"/>
    <col min="46" max="46" width="7.5" style="211" hidden="1" customWidth="1"/>
    <col min="47" max="47" width="7" style="211" hidden="1" customWidth="1"/>
    <col min="48" max="48" width="30.5" style="211" hidden="1" customWidth="1"/>
    <col min="49" max="49" width="9" style="211" hidden="1" customWidth="1"/>
    <col min="50" max="52" width="4.625" style="211" hidden="1" customWidth="1"/>
    <col min="53" max="53" width="9.75" style="211" hidden="1" customWidth="1"/>
    <col min="54" max="55" width="4.625" style="211" hidden="1" customWidth="1"/>
    <col min="56" max="56" width="0" style="211" hidden="1" customWidth="1"/>
    <col min="57" max="16384" width="9" style="211"/>
  </cols>
  <sheetData>
    <row r="1" spans="1:55" ht="24" customHeight="1" x14ac:dyDescent="0.15">
      <c r="A1" s="258" t="str">
        <f>お知らせ・記入要領!$A$1</f>
        <v>第44回 キャロットステークス 申込書</v>
      </c>
      <c r="B1" s="258"/>
      <c r="C1" s="259"/>
      <c r="D1" s="259"/>
      <c r="E1" s="259"/>
      <c r="F1" s="259"/>
      <c r="G1" s="259"/>
      <c r="H1" s="259"/>
      <c r="I1" s="259"/>
      <c r="K1" s="212" t="s">
        <v>234</v>
      </c>
      <c r="BA1" s="211" t="str">
        <f>ADDRESS(ROW($BA$8),COLUMN($BA$8),1,1,"エントリー") &amp;":"&amp;ADDRESS(ROW($BA$8)+$BB$6-1,COLUMN($BA$8)-1,1,1)</f>
        <v>エントリー!$BA$8:$AZ$7</v>
      </c>
    </row>
    <row r="2" spans="1:55" ht="18.75" customHeight="1" x14ac:dyDescent="0.15">
      <c r="A2" s="260" t="s">
        <v>63</v>
      </c>
      <c r="B2" s="260"/>
      <c r="C2" s="261"/>
      <c r="D2" s="261"/>
      <c r="E2" s="261"/>
      <c r="F2" s="261"/>
      <c r="G2" s="261"/>
      <c r="H2" s="261"/>
      <c r="I2" s="261"/>
      <c r="K2" s="212" cm="1">
        <f t="array" ref="K2">SUMPRODUCT((C8:C107&lt;&gt;"")*1)</f>
        <v>0</v>
      </c>
      <c r="AA2" s="211" t="s">
        <v>1742</v>
      </c>
      <c r="BA2" s="211" t="str">
        <f>ADDRESS(ROW($AZ$8),COLUMN($AZ$8),1,1,"エントリー") &amp;":"&amp;ADDRESS(ROW($AZ$8)+$BB$6-1,COLUMN($AZ$8)+2,1,1)</f>
        <v>エントリー!$AZ$8:$BB$7</v>
      </c>
    </row>
    <row r="3" spans="1:55" ht="22.5" customHeight="1" x14ac:dyDescent="0.15">
      <c r="A3" s="213"/>
      <c r="B3" s="213"/>
      <c r="C3" s="246" t="s">
        <v>377</v>
      </c>
      <c r="D3" s="214"/>
      <c r="E3" s="214"/>
      <c r="F3" s="214"/>
      <c r="G3" s="214"/>
      <c r="H3" s="214"/>
      <c r="I3" s="343" t="str">
        <f>IF(_xlfn.CONCAT($J$8:$J$107)&lt;&gt;"","※ 右の確認メッセージ欄を確認して修正してください⤵","")</f>
        <v/>
      </c>
      <c r="AA3" s="211" t="s">
        <v>1743</v>
      </c>
      <c r="BA3" s="211" t="str">
        <f>ADDRESS(ROW($BA$8),COLUMN($BA$8),1,1,"エントリー") &amp;":"&amp;ADDRESS(ROW($BA$8)+$BB$6-1,COLUMN($BA$8),1,1)</f>
        <v>エントリー!$BA$8:$BA$7</v>
      </c>
    </row>
    <row r="4" spans="1:55" ht="24" customHeight="1" x14ac:dyDescent="0.15">
      <c r="A4" s="510" t="str">
        <f>"団体名：" &amp; 団体登録!B7</f>
        <v>団体名：</v>
      </c>
      <c r="B4" s="510"/>
      <c r="C4" s="511"/>
      <c r="D4" s="215" t="s">
        <v>235</v>
      </c>
      <c r="E4" s="332" t="str">
        <f>IF(G4&lt;&gt;"",SUM(H8:H87),"")</f>
        <v/>
      </c>
      <c r="F4" s="215" t="s">
        <v>234</v>
      </c>
      <c r="G4" s="216" t="str" cm="1">
        <f t="array" ref="G4">IF(SUMPRODUCT(($H$8:$H$107&lt;&gt;$AA$3)*($H$8:$H$107&lt;&gt;"")*1)&gt;0,SUMPRODUCT(($H$8:$H$107&lt;&gt;$AA$3)*($H$8:$H$107&lt;&gt;"")*1),"")</f>
        <v/>
      </c>
      <c r="H4" s="215" t="s">
        <v>98</v>
      </c>
      <c r="I4" s="217" t="str">
        <f>IF(団体登録!$J$3&lt;&gt;"",団体登録!$J$3,"")</f>
        <v/>
      </c>
      <c r="M4" s="211" t="s">
        <v>245</v>
      </c>
      <c r="N4" s="350" t="s">
        <v>124</v>
      </c>
      <c r="O4" s="351"/>
      <c r="P4" s="351"/>
      <c r="Q4" s="352"/>
      <c r="R4" s="350" t="s">
        <v>125</v>
      </c>
      <c r="S4" s="351"/>
      <c r="T4" s="351"/>
      <c r="U4" s="352"/>
      <c r="V4" s="350" t="s">
        <v>197</v>
      </c>
      <c r="W4" s="351"/>
      <c r="X4" s="351"/>
      <c r="Y4" s="352"/>
      <c r="Z4" s="350" t="s">
        <v>36</v>
      </c>
      <c r="AA4" s="220"/>
      <c r="AB4" s="218"/>
      <c r="AC4" s="349" t="s">
        <v>1741</v>
      </c>
      <c r="AD4" s="219"/>
      <c r="AE4" s="219"/>
      <c r="AF4" s="219"/>
      <c r="AG4" s="220"/>
      <c r="AH4" s="219"/>
      <c r="AI4" s="219"/>
      <c r="AJ4" s="220"/>
      <c r="AO4" s="211" t="s">
        <v>121</v>
      </c>
      <c r="AX4" s="211" t="s">
        <v>365</v>
      </c>
      <c r="AY4" s="221"/>
      <c r="AZ4" s="221"/>
      <c r="BA4" s="221"/>
      <c r="BB4" s="221"/>
      <c r="BC4" s="221"/>
    </row>
    <row r="5" spans="1:55" ht="4.5" customHeight="1" thickBot="1" x14ac:dyDescent="0.2"/>
    <row r="6" spans="1:55" ht="15.75" customHeight="1" x14ac:dyDescent="0.15">
      <c r="A6" s="512" t="s">
        <v>24</v>
      </c>
      <c r="B6" s="514" t="s">
        <v>311</v>
      </c>
      <c r="C6" s="516" t="s">
        <v>379</v>
      </c>
      <c r="D6" s="516" t="s">
        <v>374</v>
      </c>
      <c r="E6" s="516" t="s">
        <v>378</v>
      </c>
      <c r="F6" s="516" t="s">
        <v>375</v>
      </c>
      <c r="G6" s="516" t="s">
        <v>376</v>
      </c>
      <c r="H6" s="517" t="s">
        <v>36</v>
      </c>
      <c r="I6" s="518" t="s">
        <v>1737</v>
      </c>
      <c r="J6" s="508" t="s">
        <v>1733</v>
      </c>
      <c r="AC6" s="212">
        <v>1</v>
      </c>
      <c r="AD6" s="212">
        <v>1</v>
      </c>
      <c r="AE6" s="212">
        <v>1</v>
      </c>
      <c r="AF6" s="212">
        <v>1</v>
      </c>
      <c r="AG6" s="212">
        <v>1</v>
      </c>
      <c r="AH6" s="212">
        <v>1</v>
      </c>
      <c r="AI6" s="212">
        <v>0</v>
      </c>
      <c r="AJ6" s="212">
        <v>1</v>
      </c>
      <c r="AX6" s="212" t="s">
        <v>362</v>
      </c>
      <c r="AY6" s="212"/>
      <c r="AZ6" s="212" t="s">
        <v>357</v>
      </c>
      <c r="BA6" s="212"/>
      <c r="BB6" s="223" cm="1">
        <f t="array" ref="BB6">SUMPRODUCT(($BB$8:$BB$107&lt;&gt;"")*1)</f>
        <v>0</v>
      </c>
      <c r="BC6" s="212"/>
    </row>
    <row r="7" spans="1:55" ht="39.75" customHeight="1" thickBot="1" x14ac:dyDescent="0.2">
      <c r="A7" s="513"/>
      <c r="B7" s="515"/>
      <c r="C7" s="515"/>
      <c r="D7" s="515"/>
      <c r="E7" s="515"/>
      <c r="F7" s="515"/>
      <c r="G7" s="515"/>
      <c r="H7" s="515"/>
      <c r="I7" s="519"/>
      <c r="J7" s="509"/>
      <c r="K7" s="224"/>
      <c r="L7" s="224"/>
      <c r="M7" s="225" t="s">
        <v>367</v>
      </c>
      <c r="N7" s="225" t="s">
        <v>334</v>
      </c>
      <c r="O7" s="225" t="s">
        <v>1722</v>
      </c>
      <c r="P7" s="225" t="s">
        <v>7</v>
      </c>
      <c r="Q7" s="225" t="s">
        <v>9</v>
      </c>
      <c r="R7" s="225" t="s">
        <v>44</v>
      </c>
      <c r="S7" s="225" t="s">
        <v>339</v>
      </c>
      <c r="T7" s="225" t="s">
        <v>340</v>
      </c>
      <c r="U7" s="225" t="s">
        <v>336</v>
      </c>
      <c r="V7" s="225" t="s">
        <v>45</v>
      </c>
      <c r="W7" s="225" t="s">
        <v>337</v>
      </c>
      <c r="X7" s="225" t="s">
        <v>1727</v>
      </c>
      <c r="Y7" s="225" t="s">
        <v>439</v>
      </c>
      <c r="Z7" s="225" t="s">
        <v>163</v>
      </c>
      <c r="AA7" s="225" t="s">
        <v>36</v>
      </c>
      <c r="AB7" s="225" t="s">
        <v>289</v>
      </c>
      <c r="AC7" s="225" t="s">
        <v>335</v>
      </c>
      <c r="AD7" s="225" t="s">
        <v>341</v>
      </c>
      <c r="AE7" s="226" t="s">
        <v>145</v>
      </c>
      <c r="AF7" s="226" t="s">
        <v>147</v>
      </c>
      <c r="AG7" s="226" t="s">
        <v>258</v>
      </c>
      <c r="AH7" s="226" t="s">
        <v>1726</v>
      </c>
      <c r="AI7" s="226" t="s">
        <v>1728</v>
      </c>
      <c r="AJ7" s="226" t="s">
        <v>1731</v>
      </c>
      <c r="AK7" s="226" t="s">
        <v>146</v>
      </c>
      <c r="AL7" s="226"/>
      <c r="AM7" s="226" t="s">
        <v>95</v>
      </c>
      <c r="AN7" s="224"/>
      <c r="AO7" s="212" t="s">
        <v>117</v>
      </c>
      <c r="AP7" s="212" t="s">
        <v>124</v>
      </c>
      <c r="AQ7" s="212" t="s">
        <v>125</v>
      </c>
      <c r="AR7" s="212" t="s">
        <v>126</v>
      </c>
      <c r="AS7" s="212" t="s">
        <v>118</v>
      </c>
      <c r="AT7" s="212" t="s">
        <v>127</v>
      </c>
      <c r="AU7" s="212" t="s">
        <v>338</v>
      </c>
      <c r="AV7" s="212" t="s">
        <v>256</v>
      </c>
      <c r="AX7" s="212"/>
      <c r="AY7" s="212"/>
      <c r="AZ7" s="212" t="s">
        <v>358</v>
      </c>
      <c r="BA7" s="212" t="s">
        <v>359</v>
      </c>
      <c r="BB7" s="212" t="s">
        <v>363</v>
      </c>
      <c r="BC7" s="212" t="s">
        <v>364</v>
      </c>
    </row>
    <row r="8" spans="1:55" ht="24" customHeight="1" x14ac:dyDescent="0.15">
      <c r="A8" s="227">
        <v>1</v>
      </c>
      <c r="B8" s="228" t="str">
        <f>IF($C8&lt;&gt;"",VLOOKUP($N8,マスタ!$H$4:$K$51,3,TRUE),"")</f>
        <v/>
      </c>
      <c r="C8" s="229"/>
      <c r="D8" s="229"/>
      <c r="E8" s="229"/>
      <c r="F8" s="230" t="str">
        <f>IF($R8&lt;&gt;"",IF(VLOOKUP($R8,選手登録!$A$8:$H$57,8,FALSE)&lt;&gt;"",VLOOKUP($R8,選手登録!$A$8:$H$57,8,FALSE),団体登録!$B$7),"")</f>
        <v/>
      </c>
      <c r="G8" s="231"/>
      <c r="H8" s="333" t="str">
        <f>IF(AND($N8&lt;&gt;"",$G8&lt;&gt;"",$S8&lt;&gt;""),IF(OR($J8&lt;&gt;"",$AA8="-"),$AA$3,$AA8),"")</f>
        <v/>
      </c>
      <c r="I8" s="232"/>
      <c r="J8" s="233" t="str">
        <f>IF($AC8&gt;0,リスト!$Y$22,IF($AD8=1,リスト!$Y$21,IF($AD8=2,リスト!$Y$23,IF($AE8&gt;0,リスト!$Y$18,IF($AF8&gt;0,リスト!$Y$19,IF($AG8&gt;0,リスト!$Y$20,IF($AH8&gt;0,リスト!$Y$24,IF($AI8&gt;0,リスト!$Y$25,IF($AJ8&gt;0,リスト!$Y$26,"")))))))))</f>
        <v/>
      </c>
      <c r="K8" s="211" t="s">
        <v>149</v>
      </c>
      <c r="M8" s="212">
        <f>A8</f>
        <v>1</v>
      </c>
      <c r="N8" s="212" t="str">
        <f>IF($C8&lt;&gt;"",VLOOKUP($C8,マスタ!$L$4:$U$51,9,FALSE),"")</f>
        <v/>
      </c>
      <c r="O8" s="212" t="str">
        <f>IF($C8&lt;&gt;"",VLOOKUP($N8,マスタ!$H$4:$I$51,2,TRUE),"")</f>
        <v/>
      </c>
      <c r="P8" s="212" t="str">
        <f>IF($N8&lt;&gt;"",VLOOKUP($N8,マスタ!$T$4:$W$51,3,FALSE),"")</f>
        <v/>
      </c>
      <c r="Q8" s="212" t="str">
        <f>IF($N8&lt;&gt;"",VLOOKUP($N8,マスタ!$T$4:$W$51,4,FALSE),"")</f>
        <v/>
      </c>
      <c r="R8" s="212" t="str">
        <f>IF($D8&lt;&gt;"",VLOOKUP($D8,選手登録!$N$8:$P$57,3,FALSE),"")</f>
        <v/>
      </c>
      <c r="S8" s="212" t="str">
        <f>IF($R8&lt;&gt;"",VLOOKUP($R8,選手登録!$M$8:$V$57,6,FALSE),"")</f>
        <v/>
      </c>
      <c r="T8" s="212" t="str">
        <f>IF($R8&lt;&gt;"",VLOOKUP($R8,選手登録!$M$8:$V$57,7,FALSE),"")</f>
        <v/>
      </c>
      <c r="U8" s="212" t="str">
        <f>IF($R8&lt;&gt;"",IF(VLOOKUP($R8,選手登録!$M$8:$U$57,9,FALSE)&lt;&gt;"",1,0),"")</f>
        <v/>
      </c>
      <c r="V8" s="212" t="str">
        <f>IF($E8&lt;&gt;"",VLOOKUP($E8,馬匹登録!$L$8:$N$57,3,FALSE),"")</f>
        <v/>
      </c>
      <c r="W8" s="212" t="str">
        <f>IF($V8&lt;&gt;"",IF(VLOOKUP($V8,馬匹登録!$N$8:$O$57,2,FALSE)&lt;&gt;"",1,0),"")</f>
        <v/>
      </c>
      <c r="X8" s="212" t="str">
        <f>IF($V8&lt;&gt;"",IF(VLOOKUP($V8,馬匹登録!$N$8:$Q$57,3,FALSE)&lt;&gt;"",1,0),"")</f>
        <v/>
      </c>
      <c r="Y8" s="212" t="str">
        <f>IF($V8&lt;&gt;"",IF(VLOOKUP($V8,馬匹登録!$N$8:$Q$57,4,FALSE)&lt;&gt;"",1,0),"")</f>
        <v/>
      </c>
      <c r="Z8" s="212" t="str">
        <f>IF($G8&lt;&gt;"",VLOOKUP($G8,リスト!$J$2:$K$5,2,FALSE),"")</f>
        <v/>
      </c>
      <c r="AA8" s="212" t="str">
        <f>IF($E8&lt;&gt;"",IFERROR(VLOOKUP($N8,マスタ!$H$4:$R$51,7+VLOOKUP($G8,リスト!$J$2:$K$5,2,FALSE),FALSE),"-"),"")</f>
        <v/>
      </c>
      <c r="AB8" s="212" t="str">
        <f>IF(AND($E8&lt;&gt;"",$I8&lt;&gt;""),$I8,"")</f>
        <v/>
      </c>
      <c r="AC8" s="212">
        <f>IF($AC$6=1,IFERROR(IF(AND($N8&lt;&gt;"",$R8&lt;&gt;""),IF(VLOOKUP($N8,マスタ!$T$4:$AC$51,4+$S8,FALSE)=0,1,0),0),1),0)</f>
        <v>0</v>
      </c>
      <c r="AD8" s="212">
        <f>IF($AD$6=2,IFERROR(IF(OR($H8="-",AND($Z8=3,NOT(OR($S8=3,$S8=4,$S8=5))),AND($Z8=2,$S8&lt;&gt;2)),1,IF(AND($O8&lt;&gt;"",$R8&lt;&gt;"",$H8=""),2,0)),1),0)</f>
        <v>0</v>
      </c>
      <c r="AE8" s="212">
        <f>IF($AE$6=1,IFERROR(IF($G8="社馬連",IF(IFERROR(VLOOKUP($F8,リスト!$F$10:$H$51,2,FALSE),2)&lt;&gt;0,1,0),0),1),0)</f>
        <v>0</v>
      </c>
      <c r="AF8" s="212">
        <f>IF($AF$6=1,IFERROR(IF($AL8&gt;1,1,0),1),0)</f>
        <v>0</v>
      </c>
      <c r="AG8" s="212">
        <f>IF($AG$6=1,IFERROR(IF(AND($N8&lt;&gt;"",$R8&lt;&gt;"",$V8&lt;&gt;""),IF(AND($P8="Y",OR($U8=0,$W8=0)),1,0),0),1),0)</f>
        <v>0</v>
      </c>
      <c r="AH8" s="212">
        <f>IF($AH$6=1,IFERROR(IF(AND($N8&lt;&gt;"",OR($N8=28,$N8=36),$X8&lt;&gt;"",$X8=0),1,0),1),0)</f>
        <v>0</v>
      </c>
      <c r="AI8" s="212">
        <f>IF($AI$6=1,IFERROR(IF(AND($N8&lt;&gt;"",$N8=28,$Y8&lt;&gt;"",$Y8=0),1,0),1),0)</f>
        <v>0</v>
      </c>
      <c r="AJ8" s="212">
        <f>IF($AJ$6=1, IFERROR(IF(AND($N8&lt;&gt;"", OR(AND($N8&gt;=4, $N8&lt;=15), AND($N8&gt;=19, $N8&lt;=20),AND($N8&gt;=22, $N8&lt;=36), AND($N8&gt;=40, $N8&lt;=44)), $S8&lt;&gt;"", $S8=6, $Z8&lt;&gt;"", $Z8=1), 1, 0), 1), 0)</f>
        <v>0</v>
      </c>
      <c r="AK8" s="212" t="str">
        <f>IF(AND($O8&lt;&gt;"",$R8&lt;&gt;"",$V8&lt;&gt;""),$O8&amp;"-"&amp;$R8&amp;"-"&amp;$V8,"")</f>
        <v/>
      </c>
      <c r="AL8" s="212">
        <f>IF($AK8&lt;&gt;"",COUNTIF($AK$8:$AK$87,$AK8),0)</f>
        <v>0</v>
      </c>
      <c r="AM8" s="212" t="str">
        <f>IFERROR(VLOOKUP($N8,マスタ!$T$4:$AE$51,12,TRUE),"")</f>
        <v/>
      </c>
      <c r="AO8" s="212" t="str">
        <f ca="1">IF($BC8&lt;&gt;"",$BC8,"")</f>
        <v/>
      </c>
      <c r="AP8" s="212" t="str">
        <f ca="1">IF($AO8&lt;&gt;"",VLOOKUP($AO8,$M$8:$AB$107,2),"")</f>
        <v/>
      </c>
      <c r="AQ8" s="212" t="str">
        <f ca="1">IF($AO8&lt;&gt;"",VLOOKUP($AO8,$M$8:$AB$107,6),"")</f>
        <v/>
      </c>
      <c r="AR8" s="212" t="str">
        <f t="shared" ref="AR8:AR71" ca="1" si="0">IF($AO8&lt;&gt;"",VLOOKUP($AO8,$M$8:$AB$107,10),"")</f>
        <v/>
      </c>
      <c r="AS8" s="212" t="str">
        <f ca="1">IF($AO8&lt;&gt;"",VLOOKUP($AO8,$M$8:$AB$107,14),"")</f>
        <v/>
      </c>
      <c r="AT8" s="212" t="str">
        <f ca="1">IF($AO8&lt;&gt;"",VLOOKUP($AO8,$M$8:$AB$107,15),"")</f>
        <v/>
      </c>
      <c r="AU8" s="212" t="str">
        <f ca="1">IF($AO8&lt;&gt;"",SUM(INDIRECT(ADDRESS(ROW($AO$7)+MATCH($AO8,$M$8:$M$107,0),COLUMN($AC$8),1,1)&amp;":"&amp;ADDRESS(ROW($AO$7)+MATCH($AO8,$M$8:$M$107,0),COLUMN($AJ$8),1,1))),"")</f>
        <v/>
      </c>
      <c r="AV8" s="212" t="str">
        <f ca="1">IF($AO8&lt;&gt;"",VLOOKUP($AO8,$M$8:$AB$107,16),"")</f>
        <v/>
      </c>
      <c r="AX8" s="212">
        <f>IF($N8&lt;&gt;"",1,0)</f>
        <v>0</v>
      </c>
      <c r="AY8" s="212">
        <f>$M8</f>
        <v>1</v>
      </c>
      <c r="AZ8" s="212" t="str">
        <f ca="1">IF($BB8&lt;&gt;"",COUNTIF(INDIRECT($BA$3),"&lt;"&amp;BA8)+1,"")</f>
        <v/>
      </c>
      <c r="BA8" s="212" t="str">
        <f t="shared" ref="BA8:BA39" si="1">IF($BB8&lt;&gt;"",TEXT(VLOOKUP($BB8,$M$8:$O$107,2),"000")&amp;TEXT($BB8,"-000"),"")</f>
        <v/>
      </c>
      <c r="BB8" s="212" t="str">
        <f>IFERROR(VLOOKUP(ROW($BB8)-ROW($BA$8)+1,$AX$8:$AY$107,2,FALSE),"")</f>
        <v/>
      </c>
      <c r="BC8" s="212" t="str">
        <f t="shared" ref="BC8:BC39" ca="1" si="2">IF($BB8&lt;&gt;"",VLOOKUP(SMALL(INDIRECT($BA$1),ROW($C1)),INDIRECT($BA$2),3,FALSE),"")</f>
        <v/>
      </c>
    </row>
    <row r="9" spans="1:55" ht="24" customHeight="1" x14ac:dyDescent="0.15">
      <c r="A9" s="234">
        <v>2</v>
      </c>
      <c r="B9" s="228" t="str">
        <f>IF($C9&lt;&gt;"",VLOOKUP($N9,マスタ!$H$4:$K$51,3,TRUE),"")</f>
        <v/>
      </c>
      <c r="C9" s="236"/>
      <c r="D9" s="236"/>
      <c r="E9" s="236"/>
      <c r="F9" s="237" t="str">
        <f>IF($R9&lt;&gt;"",IF(VLOOKUP($R9,選手登録!$A$8:$H$57,8,FALSE)&lt;&gt;"",VLOOKUP($R9,選手登録!$A$8:$H$57,8,FALSE),団体登録!$B$7),"")</f>
        <v/>
      </c>
      <c r="G9" s="238"/>
      <c r="H9" s="333" t="str">
        <f t="shared" ref="H9:H72" si="3">IF(AND($N9&lt;&gt;"",$G9&lt;&gt;"",$S9&lt;&gt;""),IF(OR($J9&lt;&gt;"",$AA9="-"),$AA$3,$AA9),"")</f>
        <v/>
      </c>
      <c r="I9" s="239"/>
      <c r="J9" s="233" t="str">
        <f>IF($AC9&gt;0,リスト!$Y$22,IF($AD9=1,リスト!$Y$21,IF($AD9=2,リスト!$Y$23,IF($AE9&gt;0,リスト!$Y$18,IF($AF9&gt;0,リスト!$Y$19,IF($AG9&gt;0,リスト!$Y$20,IF($AH9&gt;0,リスト!$Y$24,IF($AI9&gt;0,リスト!$Y$25,IF($AJ9&gt;0,リスト!$Y$26,"")))))))))</f>
        <v/>
      </c>
      <c r="K9" s="211" t="s">
        <v>149</v>
      </c>
      <c r="M9" s="212">
        <f t="shared" ref="M9:M72" si="4">A9</f>
        <v>2</v>
      </c>
      <c r="N9" s="212" t="str">
        <f>IF($C9&lt;&gt;"",VLOOKUP($C9,マスタ!$L$4:$U$51,9,FALSE),"")</f>
        <v/>
      </c>
      <c r="O9" s="212" t="str">
        <f>IF($C9&lt;&gt;"",VLOOKUP($N9,マスタ!$H$4:$I$51,2,TRUE),"")</f>
        <v/>
      </c>
      <c r="P9" s="212" t="str">
        <f>IF($N9&lt;&gt;"",VLOOKUP($N9,マスタ!$T$4:$W$51,3,FALSE),"")</f>
        <v/>
      </c>
      <c r="Q9" s="212" t="str">
        <f>IF($N9&lt;&gt;"",VLOOKUP($N9,マスタ!$T$4:$W$51,4,FALSE),"")</f>
        <v/>
      </c>
      <c r="R9" s="212" t="str">
        <f>IF($D9&lt;&gt;"",VLOOKUP($D9,選手登録!$N$8:$P$57,3,FALSE),"")</f>
        <v/>
      </c>
      <c r="S9" s="212" t="str">
        <f>IF($R9&lt;&gt;"",VLOOKUP($R9,選手登録!$M$8:$V$57,6,FALSE),"")</f>
        <v/>
      </c>
      <c r="T9" s="212" t="str">
        <f>IF($R9&lt;&gt;"",VLOOKUP($R9,選手登録!$M$8:$V$57,7,FALSE),"")</f>
        <v/>
      </c>
      <c r="U9" s="212" t="str">
        <f>IF($R9&lt;&gt;"",IF(VLOOKUP($R9,選手登録!$M$8:$U$57,9,FALSE)&lt;&gt;"",1,0),"")</f>
        <v/>
      </c>
      <c r="V9" s="212" t="str">
        <f>IF($E9&lt;&gt;"",VLOOKUP($E9,馬匹登録!$L$8:$N$57,3,FALSE),"")</f>
        <v/>
      </c>
      <c r="W9" s="212" t="str">
        <f>IF($V9&lt;&gt;"",IF(VLOOKUP($V9,馬匹登録!$N$8:$O$57,2,FALSE)&lt;&gt;"",1,0),"")</f>
        <v/>
      </c>
      <c r="X9" s="212" t="str">
        <f>IF($V9&lt;&gt;"",IF(VLOOKUP($V9,馬匹登録!$N$8:$Q$57,3,FALSE)&lt;&gt;"",1,0),"")</f>
        <v/>
      </c>
      <c r="Y9" s="212" t="str">
        <f>IF($V9&lt;&gt;"",IF(VLOOKUP($V9,馬匹登録!$N$8:$Q$57,4,FALSE)&lt;&gt;"",1,0),"")</f>
        <v/>
      </c>
      <c r="Z9" s="212" t="str">
        <f>IF($G9&lt;&gt;"",VLOOKUP($G9,リスト!$J$2:$K$5,2,FALSE),"")</f>
        <v/>
      </c>
      <c r="AA9" s="212" t="str">
        <f>IF($E9&lt;&gt;"",IFERROR(VLOOKUP($N9,マスタ!$H$4:$R$51,7+VLOOKUP($G9,リスト!$J$2:$K$5,2,FALSE),FALSE),"-"),"")</f>
        <v/>
      </c>
      <c r="AB9" s="212" t="str">
        <f t="shared" ref="AB9:AB72" si="5">IF(AND($E9&lt;&gt;"",$I9&lt;&gt;""),$I9,"")</f>
        <v/>
      </c>
      <c r="AC9" s="212">
        <f>IF($AC$6=1,IFERROR(IF(AND($N9&lt;&gt;"",$R9&lt;&gt;""),IF(VLOOKUP($N9,マスタ!$T$4:$AC$51,4+$S9,FALSE)=0,1,0),0),1),0)</f>
        <v>0</v>
      </c>
      <c r="AD9" s="212">
        <f t="shared" ref="AD9:AD72" si="6">IF($AD$6=2,IFERROR(IF(OR($H9="-",AND($Z9=3,NOT(OR($S9=3,$S9=4,$S9=5))),AND($Z9=2,$S9&lt;&gt;2)),1,IF(AND($O9&lt;&gt;"",$R9&lt;&gt;"",$H9=""),2,0)),1),0)</f>
        <v>0</v>
      </c>
      <c r="AE9" s="212">
        <f>IF($AE$6=1,IFERROR(IF($G9="社馬連",IF(IFERROR(VLOOKUP($F9,リスト!$F$10:$H$51,2,FALSE),2)&lt;&gt;0,1,0),0),1),0)</f>
        <v>0</v>
      </c>
      <c r="AF9" s="212">
        <f t="shared" ref="AF9:AF72" si="7">IF($AF$6=1,IFERROR(IF($AL9&gt;1,1,0),1),0)</f>
        <v>0</v>
      </c>
      <c r="AG9" s="212">
        <f t="shared" ref="AG9:AG72" si="8">IF($AG$6=1,IFERROR(IF(AND($N9&lt;&gt;"",$R9&lt;&gt;"",$V9&lt;&gt;""),IF(AND($P9="Y",OR($U9=0,$W9=0)),1,0),0),1),0)</f>
        <v>0</v>
      </c>
      <c r="AH9" s="212">
        <f t="shared" ref="AH9:AH72" si="9">IF($AH$6=1,IFERROR(IF(AND($N9&lt;&gt;"",OR($N9=28,$N9=36),$X9&lt;&gt;"",$X9=0),1,0),1),0)</f>
        <v>0</v>
      </c>
      <c r="AI9" s="212">
        <f t="shared" ref="AI9:AI72" si="10">IF($AI$6=1,IFERROR(IF(AND($N9&lt;&gt;"",$N9=28,$Y9&lt;&gt;"",$Y9=0),1,0),1),0)</f>
        <v>0</v>
      </c>
      <c r="AJ9" s="212">
        <f t="shared" ref="AJ9:AJ72" si="11">IF($AJ$6=1, IFERROR(IF(AND($N9&lt;&gt;"", OR(AND($N9&gt;=4, $N9&lt;=15), AND($N9&gt;=19, $N9&lt;=20),AND($N9&gt;=22, $N9&lt;=36), AND($N9&gt;=40, $N9&lt;=44)), $S9&lt;&gt;"", $S9=6, $Z9&lt;&gt;"", $Z9=1), 1, 0), 1), 0)</f>
        <v>0</v>
      </c>
      <c r="AK9" s="212" t="str">
        <f t="shared" ref="AK9:AK72" si="12">IF(AND($O9&lt;&gt;"",$R9&lt;&gt;"",$V9&lt;&gt;""),$O9&amp;"-"&amp;$R9&amp;"-"&amp;$V9,"")</f>
        <v/>
      </c>
      <c r="AL9" s="212">
        <f t="shared" ref="AL9:AL72" si="13">IF($AK9&lt;&gt;"",COUNTIF($AK$8:$AK$87,$AK9),0)</f>
        <v>0</v>
      </c>
      <c r="AM9" s="212" t="str">
        <f>IFERROR(VLOOKUP($N9,マスタ!$T$4:$AE$51,12,TRUE),"")</f>
        <v/>
      </c>
      <c r="AO9" s="212" t="str">
        <f t="shared" ref="AO9:AO72" ca="1" si="14">IF($BC9&lt;&gt;"",$BC9,"")</f>
        <v/>
      </c>
      <c r="AP9" s="212" t="str">
        <f t="shared" ref="AP9:AP72" ca="1" si="15">IF($AO9&lt;&gt;"",VLOOKUP($AO9,$M$8:$AB$107,2),"")</f>
        <v/>
      </c>
      <c r="AQ9" s="212" t="str">
        <f t="shared" ref="AQ9:AQ72" ca="1" si="16">IF($AO9&lt;&gt;"",VLOOKUP($AO9,$M$8:$AB$107,6),"")</f>
        <v/>
      </c>
      <c r="AR9" s="212" t="str">
        <f t="shared" ca="1" si="0"/>
        <v/>
      </c>
      <c r="AS9" s="212" t="str">
        <f t="shared" ref="AS9:AS72" ca="1" si="17">IF($AO9&lt;&gt;"",VLOOKUP($AO9,$M$8:$AB$107,14),"")</f>
        <v/>
      </c>
      <c r="AT9" s="212" t="str">
        <f t="shared" ref="AT9:AT72" ca="1" si="18">IF($AO9&lt;&gt;"",VLOOKUP($AO9,$M$8:$AB$107,15),"")</f>
        <v/>
      </c>
      <c r="AU9" s="212" t="str">
        <f t="shared" ref="AU9:AU72" ca="1" si="19">IF($AO9&lt;&gt;"",SUM(INDIRECT(ADDRESS(ROW($AO$7)+MATCH($AO9,$M$8:$M$107,0),COLUMN($AC$8),1,1)&amp;":"&amp;ADDRESS(ROW($AO$7)+MATCH($AO9,$M$8:$M$107,0),COLUMN($AJ$8),1,1))),"")</f>
        <v/>
      </c>
      <c r="AV9" s="212" t="str">
        <f t="shared" ref="AV9:AV72" ca="1" si="20">IF($AO9&lt;&gt;"",VLOOKUP($AO9,$M$8:$AB$107,16),"")</f>
        <v/>
      </c>
      <c r="AX9" s="212">
        <f t="shared" ref="AX9:AX40" si="21">IF($N9&lt;&gt;"",$AX8+1,$AX8)</f>
        <v>0</v>
      </c>
      <c r="AY9" s="212">
        <f>$M9</f>
        <v>2</v>
      </c>
      <c r="AZ9" s="212" t="str">
        <f ca="1">IF($BB9&lt;&gt;"",COUNTIF(INDIRECT($BA$3),"&lt;"&amp;BA9)+1,"")</f>
        <v/>
      </c>
      <c r="BA9" s="212" t="str">
        <f t="shared" si="1"/>
        <v/>
      </c>
      <c r="BB9" s="212" t="str">
        <f>IFERROR(VLOOKUP(ROW($BB9)-ROW($BA$8)+1,$AX$8:$AY$107,2,FALSE),"")</f>
        <v/>
      </c>
      <c r="BC9" s="212" t="str">
        <f t="shared" ca="1" si="2"/>
        <v/>
      </c>
    </row>
    <row r="10" spans="1:55" ht="24" customHeight="1" x14ac:dyDescent="0.15">
      <c r="A10" s="234">
        <v>3</v>
      </c>
      <c r="B10" s="235" t="str">
        <f>IF($C10&lt;&gt;"",VLOOKUP($N10,マスタ!$H$4:$K$51,3,TRUE),"")</f>
        <v/>
      </c>
      <c r="C10" s="236"/>
      <c r="D10" s="236"/>
      <c r="E10" s="236"/>
      <c r="F10" s="237" t="str">
        <f>IF($R10&lt;&gt;"",IF(VLOOKUP($R10,選手登録!$A$8:$H$57,8,FALSE)&lt;&gt;"",VLOOKUP($R10,選手登録!$A$8:$H$57,8,FALSE),団体登録!$B$7),"")</f>
        <v/>
      </c>
      <c r="G10" s="238"/>
      <c r="H10" s="333" t="str">
        <f t="shared" si="3"/>
        <v/>
      </c>
      <c r="I10" s="239"/>
      <c r="J10" s="233" t="str">
        <f>IF($AC10&gt;0,リスト!$Y$22,IF($AD10=1,リスト!$Y$21,IF($AD10=2,リスト!$Y$23,IF($AE10&gt;0,リスト!$Y$18,IF($AF10&gt;0,リスト!$Y$19,IF($AG10&gt;0,リスト!$Y$20,IF($AH10&gt;0,リスト!$Y$24,IF($AI10&gt;0,リスト!$Y$25,IF($AJ10&gt;0,リスト!$Y$26,"")))))))))</f>
        <v/>
      </c>
      <c r="K10" s="211" t="s">
        <v>149</v>
      </c>
      <c r="M10" s="212">
        <f t="shared" si="4"/>
        <v>3</v>
      </c>
      <c r="N10" s="212" t="str">
        <f>IF($C10&lt;&gt;"",VLOOKUP($C10,マスタ!$L$4:$U$51,9,FALSE),"")</f>
        <v/>
      </c>
      <c r="O10" s="212" t="str">
        <f>IF($C10&lt;&gt;"",VLOOKUP($N10,マスタ!$H$4:$I$51,2,TRUE),"")</f>
        <v/>
      </c>
      <c r="P10" s="212" t="str">
        <f>IF($N10&lt;&gt;"",VLOOKUP($N10,マスタ!$T$4:$W$51,3,FALSE),"")</f>
        <v/>
      </c>
      <c r="Q10" s="212" t="str">
        <f>IF($N10&lt;&gt;"",VLOOKUP($N10,マスタ!$T$4:$W$51,4,FALSE),"")</f>
        <v/>
      </c>
      <c r="R10" s="212" t="str">
        <f>IF($D10&lt;&gt;"",VLOOKUP($D10,選手登録!$N$8:$P$57,3,FALSE),"")</f>
        <v/>
      </c>
      <c r="S10" s="212" t="str">
        <f>IF($R10&lt;&gt;"",VLOOKUP($R10,選手登録!$M$8:$V$57,6,FALSE),"")</f>
        <v/>
      </c>
      <c r="T10" s="212" t="str">
        <f>IF($R10&lt;&gt;"",VLOOKUP($R10,選手登録!$M$8:$V$57,7,FALSE),"")</f>
        <v/>
      </c>
      <c r="U10" s="212" t="str">
        <f>IF($R10&lt;&gt;"",IF(VLOOKUP($R10,選手登録!$M$8:$U$57,9,FALSE)&lt;&gt;"",1,0),"")</f>
        <v/>
      </c>
      <c r="V10" s="212" t="str">
        <f>IF($E10&lt;&gt;"",VLOOKUP($E10,馬匹登録!$L$8:$N$57,3,FALSE),"")</f>
        <v/>
      </c>
      <c r="W10" s="212" t="str">
        <f>IF($V10&lt;&gt;"",IF(VLOOKUP($V10,馬匹登録!$N$8:$O$57,2,FALSE)&lt;&gt;"",1,0),"")</f>
        <v/>
      </c>
      <c r="X10" s="212" t="str">
        <f>IF($V10&lt;&gt;"",IF(VLOOKUP($V10,馬匹登録!$N$8:$Q$57,3,FALSE)&lt;&gt;"",1,0),"")</f>
        <v/>
      </c>
      <c r="Y10" s="212" t="str">
        <f>IF($V10&lt;&gt;"",IF(VLOOKUP($V10,馬匹登録!$N$8:$Q$57,4,FALSE)&lt;&gt;"",1,0),"")</f>
        <v/>
      </c>
      <c r="Z10" s="212" t="str">
        <f>IF($G10&lt;&gt;"",VLOOKUP($G10,リスト!$J$2:$K$5,2,FALSE),"")</f>
        <v/>
      </c>
      <c r="AA10" s="212" t="str">
        <f>IF($E10&lt;&gt;"",IFERROR(VLOOKUP($N10,マスタ!$H$4:$R$51,7+VLOOKUP($G10,リスト!$J$2:$K$5,2,FALSE),FALSE),"-"),"")</f>
        <v/>
      </c>
      <c r="AB10" s="212" t="str">
        <f t="shared" si="5"/>
        <v/>
      </c>
      <c r="AC10" s="212">
        <f>IF($AC$6=1,IFERROR(IF(AND($N10&lt;&gt;"",$R10&lt;&gt;""),IF(VLOOKUP($N10,マスタ!$T$4:$AC$51,4+$S10,FALSE)=0,1,0),0),1),0)</f>
        <v>0</v>
      </c>
      <c r="AD10" s="212">
        <f t="shared" si="6"/>
        <v>0</v>
      </c>
      <c r="AE10" s="212">
        <f>IF($AE$6=1,IFERROR(IF($G10="社馬連",IF(IFERROR(VLOOKUP($F10,リスト!$F$10:$H$51,2,FALSE),2)&lt;&gt;0,1,0),0),1),0)</f>
        <v>0</v>
      </c>
      <c r="AF10" s="212">
        <f t="shared" si="7"/>
        <v>0</v>
      </c>
      <c r="AG10" s="212">
        <f t="shared" si="8"/>
        <v>0</v>
      </c>
      <c r="AH10" s="212">
        <f t="shared" si="9"/>
        <v>0</v>
      </c>
      <c r="AI10" s="212">
        <f t="shared" si="10"/>
        <v>0</v>
      </c>
      <c r="AJ10" s="212">
        <f t="shared" si="11"/>
        <v>0</v>
      </c>
      <c r="AK10" s="212" t="str">
        <f t="shared" si="12"/>
        <v/>
      </c>
      <c r="AL10" s="212">
        <f t="shared" si="13"/>
        <v>0</v>
      </c>
      <c r="AM10" s="212" t="str">
        <f>IFERROR(VLOOKUP($N10,マスタ!$T$4:$AE$51,12,TRUE),"")</f>
        <v/>
      </c>
      <c r="AO10" s="212" t="str">
        <f t="shared" ca="1" si="14"/>
        <v/>
      </c>
      <c r="AP10" s="212" t="str">
        <f t="shared" ca="1" si="15"/>
        <v/>
      </c>
      <c r="AQ10" s="212" t="str">
        <f t="shared" ca="1" si="16"/>
        <v/>
      </c>
      <c r="AR10" s="212" t="str">
        <f t="shared" ca="1" si="0"/>
        <v/>
      </c>
      <c r="AS10" s="212" t="str">
        <f t="shared" ca="1" si="17"/>
        <v/>
      </c>
      <c r="AT10" s="212" t="str">
        <f t="shared" ca="1" si="18"/>
        <v/>
      </c>
      <c r="AU10" s="212" t="str">
        <f t="shared" ca="1" si="19"/>
        <v/>
      </c>
      <c r="AV10" s="212" t="str">
        <f t="shared" ca="1" si="20"/>
        <v/>
      </c>
      <c r="AX10" s="212">
        <f t="shared" si="21"/>
        <v>0</v>
      </c>
      <c r="AY10" s="212">
        <f t="shared" ref="AY10:AY73" si="22">$M10</f>
        <v>3</v>
      </c>
      <c r="AZ10" s="212" t="str">
        <f t="shared" ref="AZ10:AZ73" ca="1" si="23">IF($BB10&lt;&gt;"",COUNTIF(INDIRECT($BA$3),"&lt;"&amp;BA10)+1,"")</f>
        <v/>
      </c>
      <c r="BA10" s="212" t="str">
        <f t="shared" si="1"/>
        <v/>
      </c>
      <c r="BB10" s="212" t="str">
        <f t="shared" ref="BB10:BB73" si="24">IFERROR(VLOOKUP(ROW($BB10)-ROW($BA$8)+1,$AX$8:$AY$107,2,FALSE),"")</f>
        <v/>
      </c>
      <c r="BC10" s="212" t="str">
        <f t="shared" ca="1" si="2"/>
        <v/>
      </c>
    </row>
    <row r="11" spans="1:55" ht="24" customHeight="1" x14ac:dyDescent="0.15">
      <c r="A11" s="234">
        <v>4</v>
      </c>
      <c r="B11" s="235" t="str">
        <f>IF($C11&lt;&gt;"",VLOOKUP($N11,マスタ!$H$4:$K$51,3,TRUE),"")</f>
        <v/>
      </c>
      <c r="C11" s="236"/>
      <c r="D11" s="236"/>
      <c r="E11" s="236"/>
      <c r="F11" s="237" t="str">
        <f>IF($R11&lt;&gt;"",IF(VLOOKUP($R11,選手登録!$A$8:$H$57,8,FALSE)&lt;&gt;"",VLOOKUP($R11,選手登録!$A$8:$H$57,8,FALSE),団体登録!$B$7),"")</f>
        <v/>
      </c>
      <c r="G11" s="238"/>
      <c r="H11" s="333" t="str">
        <f t="shared" si="3"/>
        <v/>
      </c>
      <c r="I11" s="239"/>
      <c r="J11" s="233" t="str">
        <f>IF($AC11&gt;0,リスト!$Y$22,IF($AD11=1,リスト!$Y$21,IF($AD11=2,リスト!$Y$23,IF($AE11&gt;0,リスト!$Y$18,IF($AF11&gt;0,リスト!$Y$19,IF($AG11&gt;0,リスト!$Y$20,IF($AH11&gt;0,リスト!$Y$24,IF($AI11&gt;0,リスト!$Y$25,IF($AJ11&gt;0,リスト!$Y$26,"")))))))))</f>
        <v/>
      </c>
      <c r="K11" s="211" t="s">
        <v>149</v>
      </c>
      <c r="M11" s="212">
        <f t="shared" si="4"/>
        <v>4</v>
      </c>
      <c r="N11" s="212" t="str">
        <f>IF($C11&lt;&gt;"",VLOOKUP($C11,マスタ!$L$4:$U$51,9,FALSE),"")</f>
        <v/>
      </c>
      <c r="O11" s="212" t="str">
        <f>IF($C11&lt;&gt;"",VLOOKUP($N11,マスタ!$H$4:$I$51,2,TRUE),"")</f>
        <v/>
      </c>
      <c r="P11" s="212" t="str">
        <f>IF($N11&lt;&gt;"",VLOOKUP($N11,マスタ!$T$4:$W$51,3,FALSE),"")</f>
        <v/>
      </c>
      <c r="Q11" s="212" t="str">
        <f>IF($N11&lt;&gt;"",VLOOKUP($N11,マスタ!$T$4:$W$51,4,FALSE),"")</f>
        <v/>
      </c>
      <c r="R11" s="212" t="str">
        <f>IF($D11&lt;&gt;"",VLOOKUP($D11,選手登録!$N$8:$P$57,3,FALSE),"")</f>
        <v/>
      </c>
      <c r="S11" s="212" t="str">
        <f>IF($R11&lt;&gt;"",VLOOKUP($R11,選手登録!$M$8:$V$57,6,FALSE),"")</f>
        <v/>
      </c>
      <c r="T11" s="212" t="str">
        <f>IF($R11&lt;&gt;"",VLOOKUP($R11,選手登録!$M$8:$V$57,7,FALSE),"")</f>
        <v/>
      </c>
      <c r="U11" s="212" t="str">
        <f>IF($R11&lt;&gt;"",IF(VLOOKUP($R11,選手登録!$M$8:$U$57,9,FALSE)&lt;&gt;"",1,0),"")</f>
        <v/>
      </c>
      <c r="V11" s="212" t="str">
        <f>IF($E11&lt;&gt;"",VLOOKUP($E11,馬匹登録!$L$8:$N$57,3,FALSE),"")</f>
        <v/>
      </c>
      <c r="W11" s="212" t="str">
        <f>IF($V11&lt;&gt;"",IF(VLOOKUP($V11,馬匹登録!$N$8:$O$57,2,FALSE)&lt;&gt;"",1,0),"")</f>
        <v/>
      </c>
      <c r="X11" s="212" t="str">
        <f>IF($V11&lt;&gt;"",IF(VLOOKUP($V11,馬匹登録!$N$8:$Q$57,3,FALSE)&lt;&gt;"",1,0),"")</f>
        <v/>
      </c>
      <c r="Y11" s="212" t="str">
        <f>IF($V11&lt;&gt;"",IF(VLOOKUP($V11,馬匹登録!$N$8:$Q$57,4,FALSE)&lt;&gt;"",1,0),"")</f>
        <v/>
      </c>
      <c r="Z11" s="212" t="str">
        <f>IF($G11&lt;&gt;"",VLOOKUP($G11,リスト!$J$2:$K$5,2,FALSE),"")</f>
        <v/>
      </c>
      <c r="AA11" s="212" t="str">
        <f>IF($E11&lt;&gt;"",IFERROR(VLOOKUP($N11,マスタ!$H$4:$R$51,7+VLOOKUP($G11,リスト!$J$2:$K$5,2,FALSE),FALSE),"-"),"")</f>
        <v/>
      </c>
      <c r="AB11" s="212" t="str">
        <f t="shared" si="5"/>
        <v/>
      </c>
      <c r="AC11" s="212">
        <f>IF($AC$6=1,IFERROR(IF(AND($N11&lt;&gt;"",$R11&lt;&gt;""),IF(VLOOKUP($N11,マスタ!$T$4:$AC$51,4+$S11,FALSE)=0,1,0),0),1),0)</f>
        <v>0</v>
      </c>
      <c r="AD11" s="212">
        <f t="shared" si="6"/>
        <v>0</v>
      </c>
      <c r="AE11" s="212">
        <f>IF($AE$6=1,IFERROR(IF($G11="社馬連",IF(IFERROR(VLOOKUP($F11,リスト!$F$10:$H$51,2,FALSE),2)&lt;&gt;0,1,0),0),1),0)</f>
        <v>0</v>
      </c>
      <c r="AF11" s="212">
        <f t="shared" si="7"/>
        <v>0</v>
      </c>
      <c r="AG11" s="212">
        <f t="shared" si="8"/>
        <v>0</v>
      </c>
      <c r="AH11" s="212">
        <f t="shared" si="9"/>
        <v>0</v>
      </c>
      <c r="AI11" s="212">
        <f t="shared" si="10"/>
        <v>0</v>
      </c>
      <c r="AJ11" s="212">
        <f t="shared" si="11"/>
        <v>0</v>
      </c>
      <c r="AK11" s="212" t="str">
        <f t="shared" si="12"/>
        <v/>
      </c>
      <c r="AL11" s="212">
        <f t="shared" si="13"/>
        <v>0</v>
      </c>
      <c r="AM11" s="212" t="str">
        <f>IFERROR(VLOOKUP($N11,マスタ!$T$4:$AE$51,12,TRUE),"")</f>
        <v/>
      </c>
      <c r="AO11" s="212" t="str">
        <f t="shared" ca="1" si="14"/>
        <v/>
      </c>
      <c r="AP11" s="212" t="str">
        <f t="shared" ca="1" si="15"/>
        <v/>
      </c>
      <c r="AQ11" s="212" t="str">
        <f t="shared" ca="1" si="16"/>
        <v/>
      </c>
      <c r="AR11" s="212" t="str">
        <f t="shared" ca="1" si="0"/>
        <v/>
      </c>
      <c r="AS11" s="212" t="str">
        <f t="shared" ca="1" si="17"/>
        <v/>
      </c>
      <c r="AT11" s="212" t="str">
        <f t="shared" ca="1" si="18"/>
        <v/>
      </c>
      <c r="AU11" s="212" t="str">
        <f t="shared" ca="1" si="19"/>
        <v/>
      </c>
      <c r="AV11" s="212" t="str">
        <f t="shared" ca="1" si="20"/>
        <v/>
      </c>
      <c r="AX11" s="212">
        <f t="shared" si="21"/>
        <v>0</v>
      </c>
      <c r="AY11" s="212">
        <f t="shared" si="22"/>
        <v>4</v>
      </c>
      <c r="AZ11" s="212" t="str">
        <f t="shared" ca="1" si="23"/>
        <v/>
      </c>
      <c r="BA11" s="212" t="str">
        <f t="shared" si="1"/>
        <v/>
      </c>
      <c r="BB11" s="212" t="str">
        <f t="shared" si="24"/>
        <v/>
      </c>
      <c r="BC11" s="212" t="str">
        <f t="shared" ca="1" si="2"/>
        <v/>
      </c>
    </row>
    <row r="12" spans="1:55" ht="24" customHeight="1" x14ac:dyDescent="0.15">
      <c r="A12" s="234">
        <v>5</v>
      </c>
      <c r="B12" s="235" t="str">
        <f>IF($C12&lt;&gt;"",VLOOKUP($N12,マスタ!$H$4:$K$51,3,TRUE),"")</f>
        <v/>
      </c>
      <c r="C12" s="236"/>
      <c r="D12" s="236"/>
      <c r="E12" s="236"/>
      <c r="F12" s="237" t="str">
        <f>IF($R12&lt;&gt;"",IF(VLOOKUP($R12,選手登録!$A$8:$H$57,8,FALSE)&lt;&gt;"",VLOOKUP($R12,選手登録!$A$8:$H$57,8,FALSE),団体登録!$B$7),"")</f>
        <v/>
      </c>
      <c r="G12" s="238"/>
      <c r="H12" s="333" t="str">
        <f t="shared" si="3"/>
        <v/>
      </c>
      <c r="I12" s="239"/>
      <c r="J12" s="233" t="str">
        <f>IF($AC12&gt;0,リスト!$Y$22,IF($AD12=1,リスト!$Y$21,IF($AD12=2,リスト!$Y$23,IF($AE12&gt;0,リスト!$Y$18,IF($AF12&gt;0,リスト!$Y$19,IF($AG12&gt;0,リスト!$Y$20,IF($AH12&gt;0,リスト!$Y$24,IF($AI12&gt;0,リスト!$Y$25,IF($AJ12&gt;0,リスト!$Y$26,"")))))))))</f>
        <v/>
      </c>
      <c r="K12" s="211" t="s">
        <v>149</v>
      </c>
      <c r="M12" s="212">
        <f t="shared" si="4"/>
        <v>5</v>
      </c>
      <c r="N12" s="212" t="str">
        <f>IF($C12&lt;&gt;"",VLOOKUP($C12,マスタ!$L$4:$U$51,9,FALSE),"")</f>
        <v/>
      </c>
      <c r="O12" s="212" t="str">
        <f>IF($C12&lt;&gt;"",VLOOKUP($N12,マスタ!$H$4:$I$51,2,TRUE),"")</f>
        <v/>
      </c>
      <c r="P12" s="212" t="str">
        <f>IF($N12&lt;&gt;"",VLOOKUP($N12,マスタ!$T$4:$W$51,3,FALSE),"")</f>
        <v/>
      </c>
      <c r="Q12" s="212" t="str">
        <f>IF($N12&lt;&gt;"",VLOOKUP($N12,マスタ!$T$4:$W$51,4,FALSE),"")</f>
        <v/>
      </c>
      <c r="R12" s="212" t="str">
        <f>IF($D12&lt;&gt;"",VLOOKUP($D12,選手登録!$N$8:$P$57,3,FALSE),"")</f>
        <v/>
      </c>
      <c r="S12" s="212" t="str">
        <f>IF($R12&lt;&gt;"",VLOOKUP($R12,選手登録!$M$8:$V$57,6,FALSE),"")</f>
        <v/>
      </c>
      <c r="T12" s="212" t="str">
        <f>IF($R12&lt;&gt;"",VLOOKUP($R12,選手登録!$M$8:$V$57,7,FALSE),"")</f>
        <v/>
      </c>
      <c r="U12" s="212" t="str">
        <f>IF($R12&lt;&gt;"",IF(VLOOKUP($R12,選手登録!$M$8:$U$57,9,FALSE)&lt;&gt;"",1,0),"")</f>
        <v/>
      </c>
      <c r="V12" s="212" t="str">
        <f>IF($E12&lt;&gt;"",VLOOKUP($E12,馬匹登録!$L$8:$N$57,3,FALSE),"")</f>
        <v/>
      </c>
      <c r="W12" s="212" t="str">
        <f>IF($V12&lt;&gt;"",IF(VLOOKUP($V12,馬匹登録!$N$8:$O$57,2,FALSE)&lt;&gt;"",1,0),"")</f>
        <v/>
      </c>
      <c r="X12" s="212" t="str">
        <f>IF($V12&lt;&gt;"",IF(VLOOKUP($V12,馬匹登録!$N$8:$Q$57,3,FALSE)&lt;&gt;"",1,0),"")</f>
        <v/>
      </c>
      <c r="Y12" s="212" t="str">
        <f>IF($V12&lt;&gt;"",IF(VLOOKUP($V12,馬匹登録!$N$8:$Q$57,4,FALSE)&lt;&gt;"",1,0),"")</f>
        <v/>
      </c>
      <c r="Z12" s="212" t="str">
        <f>IF($G12&lt;&gt;"",VLOOKUP($G12,リスト!$J$2:$K$5,2,FALSE),"")</f>
        <v/>
      </c>
      <c r="AA12" s="212" t="str">
        <f>IF($E12&lt;&gt;"",IFERROR(VLOOKUP($N12,マスタ!$H$4:$R$51,7+VLOOKUP($G12,リスト!$J$2:$K$5,2,FALSE),FALSE),"-"),"")</f>
        <v/>
      </c>
      <c r="AB12" s="212" t="str">
        <f t="shared" si="5"/>
        <v/>
      </c>
      <c r="AC12" s="212">
        <f>IF($AC$6=1,IFERROR(IF(AND($N12&lt;&gt;"",$R12&lt;&gt;""),IF(VLOOKUP($N12,マスタ!$T$4:$AC$51,4+$S12,FALSE)=0,1,0),0),1),0)</f>
        <v>0</v>
      </c>
      <c r="AD12" s="212">
        <f t="shared" si="6"/>
        <v>0</v>
      </c>
      <c r="AE12" s="212">
        <f>IF($AE$6=1,IFERROR(IF($G12="社馬連",IF(IFERROR(VLOOKUP($F12,リスト!$F$10:$H$51,2,FALSE),2)&lt;&gt;0,1,0),0),1),0)</f>
        <v>0</v>
      </c>
      <c r="AF12" s="212">
        <f t="shared" si="7"/>
        <v>0</v>
      </c>
      <c r="AG12" s="212">
        <f t="shared" si="8"/>
        <v>0</v>
      </c>
      <c r="AH12" s="212">
        <f t="shared" si="9"/>
        <v>0</v>
      </c>
      <c r="AI12" s="212">
        <f t="shared" si="10"/>
        <v>0</v>
      </c>
      <c r="AJ12" s="212">
        <f t="shared" si="11"/>
        <v>0</v>
      </c>
      <c r="AK12" s="212" t="str">
        <f t="shared" si="12"/>
        <v/>
      </c>
      <c r="AL12" s="212">
        <f t="shared" si="13"/>
        <v>0</v>
      </c>
      <c r="AM12" s="212" t="str">
        <f>IFERROR(VLOOKUP($N12,マスタ!$T$4:$AE$51,12,TRUE),"")</f>
        <v/>
      </c>
      <c r="AO12" s="212" t="str">
        <f t="shared" ca="1" si="14"/>
        <v/>
      </c>
      <c r="AP12" s="212" t="str">
        <f t="shared" ca="1" si="15"/>
        <v/>
      </c>
      <c r="AQ12" s="212" t="str">
        <f t="shared" ca="1" si="16"/>
        <v/>
      </c>
      <c r="AR12" s="212" t="str">
        <f t="shared" ca="1" si="0"/>
        <v/>
      </c>
      <c r="AS12" s="212" t="str">
        <f t="shared" ca="1" si="17"/>
        <v/>
      </c>
      <c r="AT12" s="212" t="str">
        <f t="shared" ca="1" si="18"/>
        <v/>
      </c>
      <c r="AU12" s="212" t="str">
        <f t="shared" ca="1" si="19"/>
        <v/>
      </c>
      <c r="AV12" s="212" t="str">
        <f t="shared" ca="1" si="20"/>
        <v/>
      </c>
      <c r="AX12" s="212">
        <f t="shared" si="21"/>
        <v>0</v>
      </c>
      <c r="AY12" s="212">
        <f t="shared" si="22"/>
        <v>5</v>
      </c>
      <c r="AZ12" s="212" t="str">
        <f t="shared" ca="1" si="23"/>
        <v/>
      </c>
      <c r="BA12" s="212" t="str">
        <f t="shared" si="1"/>
        <v/>
      </c>
      <c r="BB12" s="212" t="str">
        <f t="shared" si="24"/>
        <v/>
      </c>
      <c r="BC12" s="212" t="str">
        <f t="shared" ca="1" si="2"/>
        <v/>
      </c>
    </row>
    <row r="13" spans="1:55" ht="24" customHeight="1" x14ac:dyDescent="0.15">
      <c r="A13" s="234">
        <v>6</v>
      </c>
      <c r="B13" s="235" t="str">
        <f>IF($C13&lt;&gt;"",VLOOKUP($N13,マスタ!$H$4:$K$51,3,TRUE),"")</f>
        <v/>
      </c>
      <c r="C13" s="236"/>
      <c r="D13" s="236"/>
      <c r="E13" s="236"/>
      <c r="F13" s="237" t="str">
        <f>IF($R13&lt;&gt;"",IF(VLOOKUP($R13,選手登録!$A$8:$H$57,8,FALSE)&lt;&gt;"",VLOOKUP($R13,選手登録!$A$8:$H$57,8,FALSE),団体登録!$B$7),"")</f>
        <v/>
      </c>
      <c r="G13" s="238"/>
      <c r="H13" s="333" t="str">
        <f t="shared" si="3"/>
        <v/>
      </c>
      <c r="I13" s="239"/>
      <c r="J13" s="233" t="str">
        <f>IF($AC13&gt;0,リスト!$Y$22,IF($AD13=1,リスト!$Y$21,IF($AD13=2,リスト!$Y$23,IF($AE13&gt;0,リスト!$Y$18,IF($AF13&gt;0,リスト!$Y$19,IF($AG13&gt;0,リスト!$Y$20,IF($AH13&gt;0,リスト!$Y$24,IF($AI13&gt;0,リスト!$Y$25,IF($AJ13&gt;0,リスト!$Y$26,"")))))))))</f>
        <v/>
      </c>
      <c r="K13" s="211" t="s">
        <v>149</v>
      </c>
      <c r="M13" s="212">
        <f t="shared" si="4"/>
        <v>6</v>
      </c>
      <c r="N13" s="212" t="str">
        <f>IF($C13&lt;&gt;"",VLOOKUP($C13,マスタ!$L$4:$U$51,9,FALSE),"")</f>
        <v/>
      </c>
      <c r="O13" s="212" t="str">
        <f>IF($C13&lt;&gt;"",VLOOKUP($N13,マスタ!$H$4:$I$51,2,TRUE),"")</f>
        <v/>
      </c>
      <c r="P13" s="212" t="str">
        <f>IF($N13&lt;&gt;"",VLOOKUP($N13,マスタ!$T$4:$W$51,3,FALSE),"")</f>
        <v/>
      </c>
      <c r="Q13" s="212" t="str">
        <f>IF($N13&lt;&gt;"",VLOOKUP($N13,マスタ!$T$4:$W$51,4,FALSE),"")</f>
        <v/>
      </c>
      <c r="R13" s="212" t="str">
        <f>IF($D13&lt;&gt;"",VLOOKUP($D13,選手登録!$N$8:$P$57,3,FALSE),"")</f>
        <v/>
      </c>
      <c r="S13" s="212" t="str">
        <f>IF($R13&lt;&gt;"",VLOOKUP($R13,選手登録!$M$8:$V$57,6,FALSE),"")</f>
        <v/>
      </c>
      <c r="T13" s="212" t="str">
        <f>IF($R13&lt;&gt;"",VLOOKUP($R13,選手登録!$M$8:$V$57,7,FALSE),"")</f>
        <v/>
      </c>
      <c r="U13" s="212" t="str">
        <f>IF($R13&lt;&gt;"",IF(VLOOKUP($R13,選手登録!$M$8:$U$57,9,FALSE)&lt;&gt;"",1,0),"")</f>
        <v/>
      </c>
      <c r="V13" s="212" t="str">
        <f>IF($E13&lt;&gt;"",VLOOKUP($E13,馬匹登録!$L$8:$N$57,3,FALSE),"")</f>
        <v/>
      </c>
      <c r="W13" s="212" t="str">
        <f>IF($V13&lt;&gt;"",IF(VLOOKUP($V13,馬匹登録!$N$8:$O$57,2,FALSE)&lt;&gt;"",1,0),"")</f>
        <v/>
      </c>
      <c r="X13" s="212" t="str">
        <f>IF($V13&lt;&gt;"",IF(VLOOKUP($V13,馬匹登録!$N$8:$Q$57,3,FALSE)&lt;&gt;"",1,0),"")</f>
        <v/>
      </c>
      <c r="Y13" s="212" t="str">
        <f>IF($V13&lt;&gt;"",IF(VLOOKUP($V13,馬匹登録!$N$8:$Q$57,4,FALSE)&lt;&gt;"",1,0),"")</f>
        <v/>
      </c>
      <c r="Z13" s="212" t="str">
        <f>IF($G13&lt;&gt;"",VLOOKUP($G13,リスト!$J$2:$K$5,2,FALSE),"")</f>
        <v/>
      </c>
      <c r="AA13" s="212" t="str">
        <f>IF($E13&lt;&gt;"",IFERROR(VLOOKUP($N13,マスタ!$H$4:$R$51,7+VLOOKUP($G13,リスト!$J$2:$K$5,2,FALSE),FALSE),"-"),"")</f>
        <v/>
      </c>
      <c r="AB13" s="212" t="str">
        <f t="shared" si="5"/>
        <v/>
      </c>
      <c r="AC13" s="212">
        <f>IF($AC$6=1,IFERROR(IF(AND($N13&lt;&gt;"",$R13&lt;&gt;""),IF(VLOOKUP($N13,マスタ!$T$4:$AC$51,4+$S13,FALSE)=0,1,0),0),1),0)</f>
        <v>0</v>
      </c>
      <c r="AD13" s="212">
        <f t="shared" si="6"/>
        <v>0</v>
      </c>
      <c r="AE13" s="212">
        <f>IF($AE$6=1,IFERROR(IF($G13="社馬連",IF(IFERROR(VLOOKUP($F13,リスト!$F$10:$H$51,2,FALSE),2)&lt;&gt;0,1,0),0),1),0)</f>
        <v>0</v>
      </c>
      <c r="AF13" s="212">
        <f t="shared" si="7"/>
        <v>0</v>
      </c>
      <c r="AG13" s="212">
        <f t="shared" si="8"/>
        <v>0</v>
      </c>
      <c r="AH13" s="212">
        <f t="shared" si="9"/>
        <v>0</v>
      </c>
      <c r="AI13" s="212">
        <f t="shared" si="10"/>
        <v>0</v>
      </c>
      <c r="AJ13" s="212">
        <f t="shared" si="11"/>
        <v>0</v>
      </c>
      <c r="AK13" s="212" t="str">
        <f t="shared" si="12"/>
        <v/>
      </c>
      <c r="AL13" s="212">
        <f t="shared" si="13"/>
        <v>0</v>
      </c>
      <c r="AM13" s="212" t="str">
        <f>IFERROR(VLOOKUP($N13,マスタ!$T$4:$AE$51,12,TRUE),"")</f>
        <v/>
      </c>
      <c r="AO13" s="212" t="str">
        <f t="shared" ca="1" si="14"/>
        <v/>
      </c>
      <c r="AP13" s="212" t="str">
        <f t="shared" ca="1" si="15"/>
        <v/>
      </c>
      <c r="AQ13" s="212" t="str">
        <f t="shared" ca="1" si="16"/>
        <v/>
      </c>
      <c r="AR13" s="212" t="str">
        <f t="shared" ca="1" si="0"/>
        <v/>
      </c>
      <c r="AS13" s="212" t="str">
        <f t="shared" ca="1" si="17"/>
        <v/>
      </c>
      <c r="AT13" s="212" t="str">
        <f t="shared" ca="1" si="18"/>
        <v/>
      </c>
      <c r="AU13" s="212" t="str">
        <f t="shared" ca="1" si="19"/>
        <v/>
      </c>
      <c r="AV13" s="212" t="str">
        <f t="shared" ca="1" si="20"/>
        <v/>
      </c>
      <c r="AX13" s="212">
        <f t="shared" si="21"/>
        <v>0</v>
      </c>
      <c r="AY13" s="212">
        <f t="shared" si="22"/>
        <v>6</v>
      </c>
      <c r="AZ13" s="212" t="str">
        <f t="shared" ca="1" si="23"/>
        <v/>
      </c>
      <c r="BA13" s="212" t="str">
        <f t="shared" si="1"/>
        <v/>
      </c>
      <c r="BB13" s="212" t="str">
        <f t="shared" si="24"/>
        <v/>
      </c>
      <c r="BC13" s="212" t="str">
        <f t="shared" ca="1" si="2"/>
        <v/>
      </c>
    </row>
    <row r="14" spans="1:55" ht="24" customHeight="1" x14ac:dyDescent="0.15">
      <c r="A14" s="234">
        <v>7</v>
      </c>
      <c r="B14" s="235" t="str">
        <f>IF($C14&lt;&gt;"",VLOOKUP($N14,マスタ!$H$4:$K$51,3,TRUE),"")</f>
        <v/>
      </c>
      <c r="C14" s="236"/>
      <c r="D14" s="236"/>
      <c r="E14" s="236"/>
      <c r="F14" s="237" t="str">
        <f>IF($R14&lt;&gt;"",IF(VLOOKUP($R14,選手登録!$A$8:$H$57,8,FALSE)&lt;&gt;"",VLOOKUP($R14,選手登録!$A$8:$H$57,8,FALSE),団体登録!$B$7),"")</f>
        <v/>
      </c>
      <c r="G14" s="238"/>
      <c r="H14" s="333" t="str">
        <f t="shared" si="3"/>
        <v/>
      </c>
      <c r="I14" s="239"/>
      <c r="J14" s="233" t="str">
        <f>IF($AC14&gt;0,リスト!$Y$22,IF($AD14=1,リスト!$Y$21,IF($AD14=2,リスト!$Y$23,IF($AE14&gt;0,リスト!$Y$18,IF($AF14&gt;0,リスト!$Y$19,IF($AG14&gt;0,リスト!$Y$20,IF($AH14&gt;0,リスト!$Y$24,IF($AI14&gt;0,リスト!$Y$25,IF($AJ14&gt;0,リスト!$Y$26,"")))))))))</f>
        <v/>
      </c>
      <c r="K14" s="211" t="s">
        <v>149</v>
      </c>
      <c r="M14" s="212">
        <f t="shared" si="4"/>
        <v>7</v>
      </c>
      <c r="N14" s="212" t="str">
        <f>IF($C14&lt;&gt;"",VLOOKUP($C14,マスタ!$L$4:$U$51,9,FALSE),"")</f>
        <v/>
      </c>
      <c r="O14" s="212" t="str">
        <f>IF($C14&lt;&gt;"",VLOOKUP($N14,マスタ!$H$4:$I$51,2,TRUE),"")</f>
        <v/>
      </c>
      <c r="P14" s="212" t="str">
        <f>IF($N14&lt;&gt;"",VLOOKUP($N14,マスタ!$T$4:$W$51,3,FALSE),"")</f>
        <v/>
      </c>
      <c r="Q14" s="212" t="str">
        <f>IF($N14&lt;&gt;"",VLOOKUP($N14,マスタ!$T$4:$W$51,4,FALSE),"")</f>
        <v/>
      </c>
      <c r="R14" s="212" t="str">
        <f>IF($D14&lt;&gt;"",VLOOKUP($D14,選手登録!$N$8:$P$57,3,FALSE),"")</f>
        <v/>
      </c>
      <c r="S14" s="212" t="str">
        <f>IF($R14&lt;&gt;"",VLOOKUP($R14,選手登録!$M$8:$V$57,6,FALSE),"")</f>
        <v/>
      </c>
      <c r="T14" s="212" t="str">
        <f>IF($R14&lt;&gt;"",VLOOKUP($R14,選手登録!$M$8:$V$57,7,FALSE),"")</f>
        <v/>
      </c>
      <c r="U14" s="212" t="str">
        <f>IF($R14&lt;&gt;"",IF(VLOOKUP($R14,選手登録!$M$8:$U$57,9,FALSE)&lt;&gt;"",1,0),"")</f>
        <v/>
      </c>
      <c r="V14" s="212" t="str">
        <f>IF($E14&lt;&gt;"",VLOOKUP($E14,馬匹登録!$L$8:$N$57,3,FALSE),"")</f>
        <v/>
      </c>
      <c r="W14" s="212" t="str">
        <f>IF($V14&lt;&gt;"",IF(VLOOKUP($V14,馬匹登録!$N$8:$O$57,2,FALSE)&lt;&gt;"",1,0),"")</f>
        <v/>
      </c>
      <c r="X14" s="212" t="str">
        <f>IF($V14&lt;&gt;"",IF(VLOOKUP($V14,馬匹登録!$N$8:$Q$57,3,FALSE)&lt;&gt;"",1,0),"")</f>
        <v/>
      </c>
      <c r="Y14" s="212" t="str">
        <f>IF($V14&lt;&gt;"",IF(VLOOKUP($V14,馬匹登録!$N$8:$Q$57,4,FALSE)&lt;&gt;"",1,0),"")</f>
        <v/>
      </c>
      <c r="Z14" s="212" t="str">
        <f>IF($G14&lt;&gt;"",VLOOKUP($G14,リスト!$J$2:$K$5,2,FALSE),"")</f>
        <v/>
      </c>
      <c r="AA14" s="212" t="str">
        <f>IF($E14&lt;&gt;"",IFERROR(VLOOKUP($N14,マスタ!$H$4:$R$51,7+VLOOKUP($G14,リスト!$J$2:$K$5,2,FALSE),FALSE),"-"),"")</f>
        <v/>
      </c>
      <c r="AB14" s="212" t="str">
        <f t="shared" si="5"/>
        <v/>
      </c>
      <c r="AC14" s="212">
        <f>IF($AC$6=1,IFERROR(IF(AND($N14&lt;&gt;"",$R14&lt;&gt;""),IF(VLOOKUP($N14,マスタ!$T$4:$AC$51,4+$S14,FALSE)=0,1,0),0),1),0)</f>
        <v>0</v>
      </c>
      <c r="AD14" s="212">
        <f t="shared" si="6"/>
        <v>0</v>
      </c>
      <c r="AE14" s="212">
        <f>IF($AE$6=1,IFERROR(IF($G14="社馬連",IF(IFERROR(VLOOKUP($F14,リスト!$F$10:$H$51,2,FALSE),2)&lt;&gt;0,1,0),0),1),0)</f>
        <v>0</v>
      </c>
      <c r="AF14" s="212">
        <f t="shared" si="7"/>
        <v>0</v>
      </c>
      <c r="AG14" s="212">
        <f t="shared" si="8"/>
        <v>0</v>
      </c>
      <c r="AH14" s="212">
        <f t="shared" si="9"/>
        <v>0</v>
      </c>
      <c r="AI14" s="212">
        <f t="shared" si="10"/>
        <v>0</v>
      </c>
      <c r="AJ14" s="212">
        <f t="shared" si="11"/>
        <v>0</v>
      </c>
      <c r="AK14" s="212" t="str">
        <f t="shared" si="12"/>
        <v/>
      </c>
      <c r="AL14" s="212">
        <f t="shared" si="13"/>
        <v>0</v>
      </c>
      <c r="AM14" s="212" t="str">
        <f>IFERROR(VLOOKUP($N14,マスタ!$T$4:$AE$51,12,TRUE),"")</f>
        <v/>
      </c>
      <c r="AO14" s="212" t="str">
        <f t="shared" ca="1" si="14"/>
        <v/>
      </c>
      <c r="AP14" s="212" t="str">
        <f t="shared" ca="1" si="15"/>
        <v/>
      </c>
      <c r="AQ14" s="212" t="str">
        <f t="shared" ca="1" si="16"/>
        <v/>
      </c>
      <c r="AR14" s="212" t="str">
        <f t="shared" ca="1" si="0"/>
        <v/>
      </c>
      <c r="AS14" s="212" t="str">
        <f t="shared" ca="1" si="17"/>
        <v/>
      </c>
      <c r="AT14" s="212" t="str">
        <f t="shared" ca="1" si="18"/>
        <v/>
      </c>
      <c r="AU14" s="212" t="str">
        <f t="shared" ca="1" si="19"/>
        <v/>
      </c>
      <c r="AV14" s="212" t="str">
        <f t="shared" ca="1" si="20"/>
        <v/>
      </c>
      <c r="AX14" s="212">
        <f t="shared" si="21"/>
        <v>0</v>
      </c>
      <c r="AY14" s="212">
        <f t="shared" si="22"/>
        <v>7</v>
      </c>
      <c r="AZ14" s="212" t="str">
        <f t="shared" ca="1" si="23"/>
        <v/>
      </c>
      <c r="BA14" s="212" t="str">
        <f t="shared" si="1"/>
        <v/>
      </c>
      <c r="BB14" s="212" t="str">
        <f t="shared" si="24"/>
        <v/>
      </c>
      <c r="BC14" s="212" t="str">
        <f t="shared" ca="1" si="2"/>
        <v/>
      </c>
    </row>
    <row r="15" spans="1:55" ht="24" customHeight="1" x14ac:dyDescent="0.15">
      <c r="A15" s="234">
        <v>8</v>
      </c>
      <c r="B15" s="235" t="str">
        <f>IF($C15&lt;&gt;"",VLOOKUP($N15,マスタ!$H$4:$K$51,3,TRUE),"")</f>
        <v/>
      </c>
      <c r="C15" s="236"/>
      <c r="D15" s="236"/>
      <c r="E15" s="236"/>
      <c r="F15" s="237" t="str">
        <f>IF($R15&lt;&gt;"",IF(VLOOKUP($R15,選手登録!$A$8:$H$57,8,FALSE)&lt;&gt;"",VLOOKUP($R15,選手登録!$A$8:$H$57,8,FALSE),団体登録!$B$7),"")</f>
        <v/>
      </c>
      <c r="G15" s="238"/>
      <c r="H15" s="333" t="str">
        <f t="shared" si="3"/>
        <v/>
      </c>
      <c r="I15" s="239"/>
      <c r="J15" s="233" t="str">
        <f>IF($AC15&gt;0,リスト!$Y$22,IF($AD15=1,リスト!$Y$21,IF($AD15=2,リスト!$Y$23,IF($AE15&gt;0,リスト!$Y$18,IF($AF15&gt;0,リスト!$Y$19,IF($AG15&gt;0,リスト!$Y$20,IF($AH15&gt;0,リスト!$Y$24,IF($AI15&gt;0,リスト!$Y$25,IF($AJ15&gt;0,リスト!$Y$26,"")))))))))</f>
        <v/>
      </c>
      <c r="K15" s="211" t="s">
        <v>149</v>
      </c>
      <c r="M15" s="212">
        <f t="shared" si="4"/>
        <v>8</v>
      </c>
      <c r="N15" s="212" t="str">
        <f>IF($C15&lt;&gt;"",VLOOKUP($C15,マスタ!$L$4:$U$51,9,FALSE),"")</f>
        <v/>
      </c>
      <c r="O15" s="212" t="str">
        <f>IF($C15&lt;&gt;"",VLOOKUP($N15,マスタ!$H$4:$I$51,2,TRUE),"")</f>
        <v/>
      </c>
      <c r="P15" s="212" t="str">
        <f>IF($N15&lt;&gt;"",VLOOKUP($N15,マスタ!$T$4:$W$51,3,FALSE),"")</f>
        <v/>
      </c>
      <c r="Q15" s="212" t="str">
        <f>IF($N15&lt;&gt;"",VLOOKUP($N15,マスタ!$T$4:$W$51,4,FALSE),"")</f>
        <v/>
      </c>
      <c r="R15" s="212" t="str">
        <f>IF($D15&lt;&gt;"",VLOOKUP($D15,選手登録!$N$8:$P$57,3,FALSE),"")</f>
        <v/>
      </c>
      <c r="S15" s="212" t="str">
        <f>IF($R15&lt;&gt;"",VLOOKUP($R15,選手登録!$M$8:$V$57,6,FALSE),"")</f>
        <v/>
      </c>
      <c r="T15" s="212" t="str">
        <f>IF($R15&lt;&gt;"",VLOOKUP($R15,選手登録!$M$8:$V$57,7,FALSE),"")</f>
        <v/>
      </c>
      <c r="U15" s="212" t="str">
        <f>IF($R15&lt;&gt;"",IF(VLOOKUP($R15,選手登録!$M$8:$U$57,9,FALSE)&lt;&gt;"",1,0),"")</f>
        <v/>
      </c>
      <c r="V15" s="212" t="str">
        <f>IF($E15&lt;&gt;"",VLOOKUP($E15,馬匹登録!$L$8:$N$57,3,FALSE),"")</f>
        <v/>
      </c>
      <c r="W15" s="212" t="str">
        <f>IF($V15&lt;&gt;"",IF(VLOOKUP($V15,馬匹登録!$N$8:$O$57,2,FALSE)&lt;&gt;"",1,0),"")</f>
        <v/>
      </c>
      <c r="X15" s="212" t="str">
        <f>IF($V15&lt;&gt;"",IF(VLOOKUP($V15,馬匹登録!$N$8:$Q$57,3,FALSE)&lt;&gt;"",1,0),"")</f>
        <v/>
      </c>
      <c r="Y15" s="212" t="str">
        <f>IF($V15&lt;&gt;"",IF(VLOOKUP($V15,馬匹登録!$N$8:$Q$57,4,FALSE)&lt;&gt;"",1,0),"")</f>
        <v/>
      </c>
      <c r="Z15" s="212" t="str">
        <f>IF($G15&lt;&gt;"",VLOOKUP($G15,リスト!$J$2:$K$5,2,FALSE),"")</f>
        <v/>
      </c>
      <c r="AA15" s="212" t="str">
        <f>IF($E15&lt;&gt;"",IFERROR(VLOOKUP($N15,マスタ!$H$4:$R$51,7+VLOOKUP($G15,リスト!$J$2:$K$5,2,FALSE),FALSE),"-"),"")</f>
        <v/>
      </c>
      <c r="AB15" s="212" t="str">
        <f t="shared" si="5"/>
        <v/>
      </c>
      <c r="AC15" s="212">
        <f>IF($AC$6=1,IFERROR(IF(AND($N15&lt;&gt;"",$R15&lt;&gt;""),IF(VLOOKUP($N15,マスタ!$T$4:$AC$51,4+$S15,FALSE)=0,1,0),0),1),0)</f>
        <v>0</v>
      </c>
      <c r="AD15" s="212">
        <f t="shared" si="6"/>
        <v>0</v>
      </c>
      <c r="AE15" s="212">
        <f>IF($AE$6=1,IFERROR(IF($G15="社馬連",IF(IFERROR(VLOOKUP($F15,リスト!$F$10:$H$51,2,FALSE),2)&lt;&gt;0,1,0),0),1),0)</f>
        <v>0</v>
      </c>
      <c r="AF15" s="212">
        <f t="shared" si="7"/>
        <v>0</v>
      </c>
      <c r="AG15" s="212">
        <f t="shared" si="8"/>
        <v>0</v>
      </c>
      <c r="AH15" s="212">
        <f t="shared" si="9"/>
        <v>0</v>
      </c>
      <c r="AI15" s="212">
        <f t="shared" si="10"/>
        <v>0</v>
      </c>
      <c r="AJ15" s="212">
        <f t="shared" si="11"/>
        <v>0</v>
      </c>
      <c r="AK15" s="212" t="str">
        <f t="shared" si="12"/>
        <v/>
      </c>
      <c r="AL15" s="212">
        <f t="shared" si="13"/>
        <v>0</v>
      </c>
      <c r="AM15" s="212" t="str">
        <f>IFERROR(VLOOKUP($N15,マスタ!$T$4:$AE$51,12,TRUE),"")</f>
        <v/>
      </c>
      <c r="AO15" s="212" t="str">
        <f t="shared" ca="1" si="14"/>
        <v/>
      </c>
      <c r="AP15" s="212" t="str">
        <f t="shared" ca="1" si="15"/>
        <v/>
      </c>
      <c r="AQ15" s="212" t="str">
        <f t="shared" ca="1" si="16"/>
        <v/>
      </c>
      <c r="AR15" s="212" t="str">
        <f t="shared" ca="1" si="0"/>
        <v/>
      </c>
      <c r="AS15" s="212" t="str">
        <f t="shared" ca="1" si="17"/>
        <v/>
      </c>
      <c r="AT15" s="212" t="str">
        <f t="shared" ca="1" si="18"/>
        <v/>
      </c>
      <c r="AU15" s="212" t="str">
        <f t="shared" ca="1" si="19"/>
        <v/>
      </c>
      <c r="AV15" s="212" t="str">
        <f t="shared" ca="1" si="20"/>
        <v/>
      </c>
      <c r="AX15" s="212">
        <f t="shared" si="21"/>
        <v>0</v>
      </c>
      <c r="AY15" s="212">
        <f t="shared" si="22"/>
        <v>8</v>
      </c>
      <c r="AZ15" s="212" t="str">
        <f t="shared" ca="1" si="23"/>
        <v/>
      </c>
      <c r="BA15" s="212" t="str">
        <f t="shared" si="1"/>
        <v/>
      </c>
      <c r="BB15" s="212" t="str">
        <f t="shared" si="24"/>
        <v/>
      </c>
      <c r="BC15" s="212" t="str">
        <f t="shared" ca="1" si="2"/>
        <v/>
      </c>
    </row>
    <row r="16" spans="1:55" ht="24" customHeight="1" x14ac:dyDescent="0.15">
      <c r="A16" s="234">
        <v>9</v>
      </c>
      <c r="B16" s="235" t="str">
        <f>IF($C16&lt;&gt;"",VLOOKUP($N16,マスタ!$H$4:$K$51,3,TRUE),"")</f>
        <v/>
      </c>
      <c r="C16" s="236"/>
      <c r="D16" s="236"/>
      <c r="E16" s="236"/>
      <c r="F16" s="237" t="str">
        <f>IF($R16&lt;&gt;"",IF(VLOOKUP($R16,選手登録!$A$8:$H$57,8,FALSE)&lt;&gt;"",VLOOKUP($R16,選手登録!$A$8:$H$57,8,FALSE),団体登録!$B$7),"")</f>
        <v/>
      </c>
      <c r="G16" s="238"/>
      <c r="H16" s="333" t="str">
        <f t="shared" si="3"/>
        <v/>
      </c>
      <c r="I16" s="239"/>
      <c r="J16" s="233" t="str">
        <f>IF($AC16&gt;0,リスト!$Y$22,IF($AD16=1,リスト!$Y$21,IF($AD16=2,リスト!$Y$23,IF($AE16&gt;0,リスト!$Y$18,IF($AF16&gt;0,リスト!$Y$19,IF($AG16&gt;0,リスト!$Y$20,IF($AH16&gt;0,リスト!$Y$24,IF($AI16&gt;0,リスト!$Y$25,IF($AJ16&gt;0,リスト!$Y$26,"")))))))))</f>
        <v/>
      </c>
      <c r="K16" s="211" t="s">
        <v>149</v>
      </c>
      <c r="M16" s="212">
        <f t="shared" si="4"/>
        <v>9</v>
      </c>
      <c r="N16" s="212" t="str">
        <f>IF($C16&lt;&gt;"",VLOOKUP($C16,マスタ!$L$4:$U$51,9,FALSE),"")</f>
        <v/>
      </c>
      <c r="O16" s="212" t="str">
        <f>IF($C16&lt;&gt;"",VLOOKUP($N16,マスタ!$H$4:$I$51,2,TRUE),"")</f>
        <v/>
      </c>
      <c r="P16" s="212" t="str">
        <f>IF($N16&lt;&gt;"",VLOOKUP($N16,マスタ!$T$4:$W$51,3,FALSE),"")</f>
        <v/>
      </c>
      <c r="Q16" s="212" t="str">
        <f>IF($N16&lt;&gt;"",VLOOKUP($N16,マスタ!$T$4:$W$51,4,FALSE),"")</f>
        <v/>
      </c>
      <c r="R16" s="212" t="str">
        <f>IF($D16&lt;&gt;"",VLOOKUP($D16,選手登録!$N$8:$P$57,3,FALSE),"")</f>
        <v/>
      </c>
      <c r="S16" s="212" t="str">
        <f>IF($R16&lt;&gt;"",VLOOKUP($R16,選手登録!$M$8:$V$57,6,FALSE),"")</f>
        <v/>
      </c>
      <c r="T16" s="212" t="str">
        <f>IF($R16&lt;&gt;"",VLOOKUP($R16,選手登録!$M$8:$V$57,7,FALSE),"")</f>
        <v/>
      </c>
      <c r="U16" s="212" t="str">
        <f>IF($R16&lt;&gt;"",IF(VLOOKUP($R16,選手登録!$M$8:$U$57,9,FALSE)&lt;&gt;"",1,0),"")</f>
        <v/>
      </c>
      <c r="V16" s="212" t="str">
        <f>IF($E16&lt;&gt;"",VLOOKUP($E16,馬匹登録!$L$8:$N$57,3,FALSE),"")</f>
        <v/>
      </c>
      <c r="W16" s="212" t="str">
        <f>IF($V16&lt;&gt;"",IF(VLOOKUP($V16,馬匹登録!$N$8:$O$57,2,FALSE)&lt;&gt;"",1,0),"")</f>
        <v/>
      </c>
      <c r="X16" s="212" t="str">
        <f>IF($V16&lt;&gt;"",IF(VLOOKUP($V16,馬匹登録!$N$8:$Q$57,3,FALSE)&lt;&gt;"",1,0),"")</f>
        <v/>
      </c>
      <c r="Y16" s="212" t="str">
        <f>IF($V16&lt;&gt;"",IF(VLOOKUP($V16,馬匹登録!$N$8:$Q$57,4,FALSE)&lt;&gt;"",1,0),"")</f>
        <v/>
      </c>
      <c r="Z16" s="212" t="str">
        <f>IF($G16&lt;&gt;"",VLOOKUP($G16,リスト!$J$2:$K$5,2,FALSE),"")</f>
        <v/>
      </c>
      <c r="AA16" s="212" t="str">
        <f>IF($E16&lt;&gt;"",IFERROR(VLOOKUP($N16,マスタ!$H$4:$R$51,7+VLOOKUP($G16,リスト!$J$2:$K$5,2,FALSE),FALSE),"-"),"")</f>
        <v/>
      </c>
      <c r="AB16" s="212" t="str">
        <f t="shared" si="5"/>
        <v/>
      </c>
      <c r="AC16" s="212">
        <f>IF($AC$6=1,IFERROR(IF(AND($N16&lt;&gt;"",$R16&lt;&gt;""),IF(VLOOKUP($N16,マスタ!$T$4:$AC$51,4+$S16,FALSE)=0,1,0),0),1),0)</f>
        <v>0</v>
      </c>
      <c r="AD16" s="212">
        <f t="shared" si="6"/>
        <v>0</v>
      </c>
      <c r="AE16" s="212">
        <f>IF($AE$6=1,IFERROR(IF($G16="社馬連",IF(IFERROR(VLOOKUP($F16,リスト!$F$10:$H$51,2,FALSE),2)&lt;&gt;0,1,0),0),1),0)</f>
        <v>0</v>
      </c>
      <c r="AF16" s="212">
        <f t="shared" si="7"/>
        <v>0</v>
      </c>
      <c r="AG16" s="212">
        <f t="shared" si="8"/>
        <v>0</v>
      </c>
      <c r="AH16" s="212">
        <f t="shared" si="9"/>
        <v>0</v>
      </c>
      <c r="AI16" s="212">
        <f t="shared" si="10"/>
        <v>0</v>
      </c>
      <c r="AJ16" s="212">
        <f t="shared" si="11"/>
        <v>0</v>
      </c>
      <c r="AK16" s="212" t="str">
        <f t="shared" si="12"/>
        <v/>
      </c>
      <c r="AL16" s="212">
        <f t="shared" si="13"/>
        <v>0</v>
      </c>
      <c r="AM16" s="212" t="str">
        <f>IFERROR(VLOOKUP($N16,マスタ!$T$4:$AE$51,12,TRUE),"")</f>
        <v/>
      </c>
      <c r="AO16" s="212" t="str">
        <f t="shared" ca="1" si="14"/>
        <v/>
      </c>
      <c r="AP16" s="212" t="str">
        <f t="shared" ca="1" si="15"/>
        <v/>
      </c>
      <c r="AQ16" s="212" t="str">
        <f t="shared" ca="1" si="16"/>
        <v/>
      </c>
      <c r="AR16" s="212" t="str">
        <f t="shared" ca="1" si="0"/>
        <v/>
      </c>
      <c r="AS16" s="212" t="str">
        <f t="shared" ca="1" si="17"/>
        <v/>
      </c>
      <c r="AT16" s="212" t="str">
        <f t="shared" ca="1" si="18"/>
        <v/>
      </c>
      <c r="AU16" s="212" t="str">
        <f t="shared" ca="1" si="19"/>
        <v/>
      </c>
      <c r="AV16" s="212" t="str">
        <f t="shared" ca="1" si="20"/>
        <v/>
      </c>
      <c r="AX16" s="212">
        <f t="shared" si="21"/>
        <v>0</v>
      </c>
      <c r="AY16" s="212">
        <f t="shared" si="22"/>
        <v>9</v>
      </c>
      <c r="AZ16" s="212" t="str">
        <f t="shared" ca="1" si="23"/>
        <v/>
      </c>
      <c r="BA16" s="212" t="str">
        <f t="shared" si="1"/>
        <v/>
      </c>
      <c r="BB16" s="212" t="str">
        <f t="shared" si="24"/>
        <v/>
      </c>
      <c r="BC16" s="212" t="str">
        <f t="shared" ca="1" si="2"/>
        <v/>
      </c>
    </row>
    <row r="17" spans="1:55" ht="24" customHeight="1" x14ac:dyDescent="0.15">
      <c r="A17" s="234">
        <v>10</v>
      </c>
      <c r="B17" s="235" t="str">
        <f>IF($C17&lt;&gt;"",VLOOKUP($N17,マスタ!$H$4:$K$51,3,TRUE),"")</f>
        <v/>
      </c>
      <c r="C17" s="236"/>
      <c r="D17" s="236"/>
      <c r="E17" s="236"/>
      <c r="F17" s="237" t="str">
        <f>IF($R17&lt;&gt;"",IF(VLOOKUP($R17,選手登録!$A$8:$H$57,8,FALSE)&lt;&gt;"",VLOOKUP($R17,選手登録!$A$8:$H$57,8,FALSE),団体登録!$B$7),"")</f>
        <v/>
      </c>
      <c r="G17" s="238"/>
      <c r="H17" s="333" t="str">
        <f t="shared" si="3"/>
        <v/>
      </c>
      <c r="I17" s="239"/>
      <c r="J17" s="233" t="str">
        <f>IF($AC17&gt;0,リスト!$Y$22,IF($AD17=1,リスト!$Y$21,IF($AD17=2,リスト!$Y$23,IF($AE17&gt;0,リスト!$Y$18,IF($AF17&gt;0,リスト!$Y$19,IF($AG17&gt;0,リスト!$Y$20,IF($AH17&gt;0,リスト!$Y$24,IF($AI17&gt;0,リスト!$Y$25,IF($AJ17&gt;0,リスト!$Y$26,"")))))))))</f>
        <v/>
      </c>
      <c r="K17" s="211" t="s">
        <v>149</v>
      </c>
      <c r="M17" s="212">
        <f t="shared" si="4"/>
        <v>10</v>
      </c>
      <c r="N17" s="212" t="str">
        <f>IF($C17&lt;&gt;"",VLOOKUP($C17,マスタ!$L$4:$U$51,9,FALSE),"")</f>
        <v/>
      </c>
      <c r="O17" s="212" t="str">
        <f>IF($C17&lt;&gt;"",VLOOKUP($N17,マスタ!$H$4:$I$51,2,TRUE),"")</f>
        <v/>
      </c>
      <c r="P17" s="212" t="str">
        <f>IF($N17&lt;&gt;"",VLOOKUP($N17,マスタ!$T$4:$W$51,3,FALSE),"")</f>
        <v/>
      </c>
      <c r="Q17" s="212" t="str">
        <f>IF($N17&lt;&gt;"",VLOOKUP($N17,マスタ!$T$4:$W$51,4,FALSE),"")</f>
        <v/>
      </c>
      <c r="R17" s="212" t="str">
        <f>IF($D17&lt;&gt;"",VLOOKUP($D17,選手登録!$N$8:$P$57,3,FALSE),"")</f>
        <v/>
      </c>
      <c r="S17" s="212" t="str">
        <f>IF($R17&lt;&gt;"",VLOOKUP($R17,選手登録!$M$8:$V$57,6,FALSE),"")</f>
        <v/>
      </c>
      <c r="T17" s="212" t="str">
        <f>IF($R17&lt;&gt;"",VLOOKUP($R17,選手登録!$M$8:$V$57,7,FALSE),"")</f>
        <v/>
      </c>
      <c r="U17" s="212" t="str">
        <f>IF($R17&lt;&gt;"",IF(VLOOKUP($R17,選手登録!$M$8:$U$57,9,FALSE)&lt;&gt;"",1,0),"")</f>
        <v/>
      </c>
      <c r="V17" s="212" t="str">
        <f>IF($E17&lt;&gt;"",VLOOKUP($E17,馬匹登録!$L$8:$N$57,3,FALSE),"")</f>
        <v/>
      </c>
      <c r="W17" s="212" t="str">
        <f>IF($V17&lt;&gt;"",IF(VLOOKUP($V17,馬匹登録!$N$8:$O$57,2,FALSE)&lt;&gt;"",1,0),"")</f>
        <v/>
      </c>
      <c r="X17" s="212" t="str">
        <f>IF($V17&lt;&gt;"",IF(VLOOKUP($V17,馬匹登録!$N$8:$Q$57,3,FALSE)&lt;&gt;"",1,0),"")</f>
        <v/>
      </c>
      <c r="Y17" s="212" t="str">
        <f>IF($V17&lt;&gt;"",IF(VLOOKUP($V17,馬匹登録!$N$8:$Q$57,4,FALSE)&lt;&gt;"",1,0),"")</f>
        <v/>
      </c>
      <c r="Z17" s="212" t="str">
        <f>IF($G17&lt;&gt;"",VLOOKUP($G17,リスト!$J$2:$K$5,2,FALSE),"")</f>
        <v/>
      </c>
      <c r="AA17" s="212" t="str">
        <f>IF($E17&lt;&gt;"",IFERROR(VLOOKUP($N17,マスタ!$H$4:$R$51,7+VLOOKUP($G17,リスト!$J$2:$K$5,2,FALSE),FALSE),"-"),"")</f>
        <v/>
      </c>
      <c r="AB17" s="212" t="str">
        <f t="shared" si="5"/>
        <v/>
      </c>
      <c r="AC17" s="212">
        <f>IF($AC$6=1,IFERROR(IF(AND($N17&lt;&gt;"",$R17&lt;&gt;""),IF(VLOOKUP($N17,マスタ!$T$4:$AC$51,4+$S17,FALSE)=0,1,0),0),1),0)</f>
        <v>0</v>
      </c>
      <c r="AD17" s="212">
        <f t="shared" si="6"/>
        <v>0</v>
      </c>
      <c r="AE17" s="212">
        <f>IF($AE$6=1,IFERROR(IF($G17="社馬連",IF(IFERROR(VLOOKUP($F17,リスト!$F$10:$H$51,2,FALSE),2)&lt;&gt;0,1,0),0),1),0)</f>
        <v>0</v>
      </c>
      <c r="AF17" s="212">
        <f t="shared" si="7"/>
        <v>0</v>
      </c>
      <c r="AG17" s="212">
        <f t="shared" si="8"/>
        <v>0</v>
      </c>
      <c r="AH17" s="212">
        <f t="shared" si="9"/>
        <v>0</v>
      </c>
      <c r="AI17" s="212">
        <f t="shared" si="10"/>
        <v>0</v>
      </c>
      <c r="AJ17" s="212">
        <f t="shared" si="11"/>
        <v>0</v>
      </c>
      <c r="AK17" s="212" t="str">
        <f t="shared" si="12"/>
        <v/>
      </c>
      <c r="AL17" s="212">
        <f t="shared" si="13"/>
        <v>0</v>
      </c>
      <c r="AM17" s="212" t="str">
        <f>IFERROR(VLOOKUP($N17,マスタ!$T$4:$AE$51,12,TRUE),"")</f>
        <v/>
      </c>
      <c r="AO17" s="212" t="str">
        <f t="shared" ca="1" si="14"/>
        <v/>
      </c>
      <c r="AP17" s="212" t="str">
        <f t="shared" ca="1" si="15"/>
        <v/>
      </c>
      <c r="AQ17" s="212" t="str">
        <f t="shared" ca="1" si="16"/>
        <v/>
      </c>
      <c r="AR17" s="212" t="str">
        <f t="shared" ca="1" si="0"/>
        <v/>
      </c>
      <c r="AS17" s="212" t="str">
        <f t="shared" ca="1" si="17"/>
        <v/>
      </c>
      <c r="AT17" s="212" t="str">
        <f t="shared" ca="1" si="18"/>
        <v/>
      </c>
      <c r="AU17" s="212" t="str">
        <f t="shared" ca="1" si="19"/>
        <v/>
      </c>
      <c r="AV17" s="212" t="str">
        <f t="shared" ca="1" si="20"/>
        <v/>
      </c>
      <c r="AX17" s="212">
        <f t="shared" si="21"/>
        <v>0</v>
      </c>
      <c r="AY17" s="212">
        <f t="shared" si="22"/>
        <v>10</v>
      </c>
      <c r="AZ17" s="212" t="str">
        <f t="shared" ca="1" si="23"/>
        <v/>
      </c>
      <c r="BA17" s="212" t="str">
        <f t="shared" si="1"/>
        <v/>
      </c>
      <c r="BB17" s="212" t="str">
        <f t="shared" si="24"/>
        <v/>
      </c>
      <c r="BC17" s="212" t="str">
        <f t="shared" ca="1" si="2"/>
        <v/>
      </c>
    </row>
    <row r="18" spans="1:55" ht="24" customHeight="1" x14ac:dyDescent="0.15">
      <c r="A18" s="234">
        <v>11</v>
      </c>
      <c r="B18" s="235" t="str">
        <f>IF($C18&lt;&gt;"",VLOOKUP($N18,マスタ!$H$4:$K$51,3,TRUE),"")</f>
        <v/>
      </c>
      <c r="C18" s="236"/>
      <c r="D18" s="236"/>
      <c r="E18" s="236"/>
      <c r="F18" s="237" t="str">
        <f>IF($R18&lt;&gt;"",IF(VLOOKUP($R18,選手登録!$A$8:$H$57,8,FALSE)&lt;&gt;"",VLOOKUP($R18,選手登録!$A$8:$H$57,8,FALSE),団体登録!$B$7),"")</f>
        <v/>
      </c>
      <c r="G18" s="238"/>
      <c r="H18" s="333" t="str">
        <f t="shared" si="3"/>
        <v/>
      </c>
      <c r="I18" s="239"/>
      <c r="J18" s="233" t="str">
        <f>IF($AC18&gt;0,リスト!$Y$22,IF($AD18=1,リスト!$Y$21,IF($AD18=2,リスト!$Y$23,IF($AE18&gt;0,リスト!$Y$18,IF($AF18&gt;0,リスト!$Y$19,IF($AG18&gt;0,リスト!$Y$20,IF($AH18&gt;0,リスト!$Y$24,IF($AI18&gt;0,リスト!$Y$25,IF($AJ18&gt;0,リスト!$Y$26,"")))))))))</f>
        <v/>
      </c>
      <c r="K18" s="211" t="s">
        <v>149</v>
      </c>
      <c r="M18" s="212">
        <f t="shared" si="4"/>
        <v>11</v>
      </c>
      <c r="N18" s="212" t="str">
        <f>IF($C18&lt;&gt;"",VLOOKUP($C18,マスタ!$L$4:$U$51,9,FALSE),"")</f>
        <v/>
      </c>
      <c r="O18" s="212" t="str">
        <f>IF($C18&lt;&gt;"",VLOOKUP($N18,マスタ!$H$4:$I$51,2,TRUE),"")</f>
        <v/>
      </c>
      <c r="P18" s="212" t="str">
        <f>IF($N18&lt;&gt;"",VLOOKUP($N18,マスタ!$T$4:$W$51,3,FALSE),"")</f>
        <v/>
      </c>
      <c r="Q18" s="212" t="str">
        <f>IF($N18&lt;&gt;"",VLOOKUP($N18,マスタ!$T$4:$W$51,4,FALSE),"")</f>
        <v/>
      </c>
      <c r="R18" s="212" t="str">
        <f>IF($D18&lt;&gt;"",VLOOKUP($D18,選手登録!$N$8:$P$57,3,FALSE),"")</f>
        <v/>
      </c>
      <c r="S18" s="212" t="str">
        <f>IF($R18&lt;&gt;"",VLOOKUP($R18,選手登録!$M$8:$V$57,6,FALSE),"")</f>
        <v/>
      </c>
      <c r="T18" s="212" t="str">
        <f>IF($R18&lt;&gt;"",VLOOKUP($R18,選手登録!$M$8:$V$57,7,FALSE),"")</f>
        <v/>
      </c>
      <c r="U18" s="212" t="str">
        <f>IF($R18&lt;&gt;"",IF(VLOOKUP($R18,選手登録!$M$8:$U$57,9,FALSE)&lt;&gt;"",1,0),"")</f>
        <v/>
      </c>
      <c r="V18" s="212" t="str">
        <f>IF($E18&lt;&gt;"",VLOOKUP($E18,馬匹登録!$L$8:$N$57,3,FALSE),"")</f>
        <v/>
      </c>
      <c r="W18" s="212" t="str">
        <f>IF($V18&lt;&gt;"",IF(VLOOKUP($V18,馬匹登録!$N$8:$O$57,2,FALSE)&lt;&gt;"",1,0),"")</f>
        <v/>
      </c>
      <c r="X18" s="212" t="str">
        <f>IF($V18&lt;&gt;"",IF(VLOOKUP($V18,馬匹登録!$N$8:$Q$57,3,FALSE)&lt;&gt;"",1,0),"")</f>
        <v/>
      </c>
      <c r="Y18" s="212" t="str">
        <f>IF($V18&lt;&gt;"",IF(VLOOKUP($V18,馬匹登録!$N$8:$Q$57,4,FALSE)&lt;&gt;"",1,0),"")</f>
        <v/>
      </c>
      <c r="Z18" s="212" t="str">
        <f>IF($G18&lt;&gt;"",VLOOKUP($G18,リスト!$J$2:$K$5,2,FALSE),"")</f>
        <v/>
      </c>
      <c r="AA18" s="212" t="str">
        <f>IF($E18&lt;&gt;"",IFERROR(VLOOKUP($N18,マスタ!$H$4:$R$51,7+VLOOKUP($G18,リスト!$J$2:$K$5,2,FALSE),FALSE),"-"),"")</f>
        <v/>
      </c>
      <c r="AB18" s="212" t="str">
        <f t="shared" si="5"/>
        <v/>
      </c>
      <c r="AC18" s="212">
        <f>IF($AC$6=1,IFERROR(IF(AND($N18&lt;&gt;"",$R18&lt;&gt;""),IF(VLOOKUP($N18,マスタ!$T$4:$AC$51,4+$S18,FALSE)=0,1,0),0),1),0)</f>
        <v>0</v>
      </c>
      <c r="AD18" s="212">
        <f t="shared" si="6"/>
        <v>0</v>
      </c>
      <c r="AE18" s="212">
        <f>IF($AE$6=1,IFERROR(IF($G18="社馬連",IF(IFERROR(VLOOKUP($F18,リスト!$F$10:$H$51,2,FALSE),2)&lt;&gt;0,1,0),0),1),0)</f>
        <v>0</v>
      </c>
      <c r="AF18" s="212">
        <f t="shared" si="7"/>
        <v>0</v>
      </c>
      <c r="AG18" s="212">
        <f t="shared" si="8"/>
        <v>0</v>
      </c>
      <c r="AH18" s="212">
        <f t="shared" si="9"/>
        <v>0</v>
      </c>
      <c r="AI18" s="212">
        <f t="shared" si="10"/>
        <v>0</v>
      </c>
      <c r="AJ18" s="212">
        <f t="shared" si="11"/>
        <v>0</v>
      </c>
      <c r="AK18" s="212" t="str">
        <f t="shared" si="12"/>
        <v/>
      </c>
      <c r="AL18" s="212">
        <f t="shared" si="13"/>
        <v>0</v>
      </c>
      <c r="AM18" s="212" t="str">
        <f>IFERROR(VLOOKUP($N18,マスタ!$T$4:$AE$51,12,TRUE),"")</f>
        <v/>
      </c>
      <c r="AO18" s="212" t="str">
        <f t="shared" ca="1" si="14"/>
        <v/>
      </c>
      <c r="AP18" s="212" t="str">
        <f t="shared" ca="1" si="15"/>
        <v/>
      </c>
      <c r="AQ18" s="212" t="str">
        <f t="shared" ca="1" si="16"/>
        <v/>
      </c>
      <c r="AR18" s="212" t="str">
        <f t="shared" ca="1" si="0"/>
        <v/>
      </c>
      <c r="AS18" s="212" t="str">
        <f t="shared" ca="1" si="17"/>
        <v/>
      </c>
      <c r="AT18" s="212" t="str">
        <f t="shared" ca="1" si="18"/>
        <v/>
      </c>
      <c r="AU18" s="212" t="str">
        <f t="shared" ca="1" si="19"/>
        <v/>
      </c>
      <c r="AV18" s="212" t="str">
        <f t="shared" ca="1" si="20"/>
        <v/>
      </c>
      <c r="AX18" s="212">
        <f t="shared" si="21"/>
        <v>0</v>
      </c>
      <c r="AY18" s="212">
        <f t="shared" si="22"/>
        <v>11</v>
      </c>
      <c r="AZ18" s="212" t="str">
        <f t="shared" ca="1" si="23"/>
        <v/>
      </c>
      <c r="BA18" s="212" t="str">
        <f t="shared" si="1"/>
        <v/>
      </c>
      <c r="BB18" s="212" t="str">
        <f t="shared" si="24"/>
        <v/>
      </c>
      <c r="BC18" s="212" t="str">
        <f t="shared" ca="1" si="2"/>
        <v/>
      </c>
    </row>
    <row r="19" spans="1:55" ht="24" customHeight="1" x14ac:dyDescent="0.15">
      <c r="A19" s="234">
        <v>12</v>
      </c>
      <c r="B19" s="235" t="str">
        <f>IF($C19&lt;&gt;"",VLOOKUP($N19,マスタ!$H$4:$K$51,3,TRUE),"")</f>
        <v/>
      </c>
      <c r="C19" s="236"/>
      <c r="D19" s="236"/>
      <c r="E19" s="236"/>
      <c r="F19" s="237" t="str">
        <f>IF($R19&lt;&gt;"",IF(VLOOKUP($R19,選手登録!$A$8:$H$57,8,FALSE)&lt;&gt;"",VLOOKUP($R19,選手登録!$A$8:$H$57,8,FALSE),団体登録!$B$7),"")</f>
        <v/>
      </c>
      <c r="G19" s="238"/>
      <c r="H19" s="333" t="str">
        <f t="shared" si="3"/>
        <v/>
      </c>
      <c r="I19" s="239"/>
      <c r="J19" s="233" t="str">
        <f>IF($AC19&gt;0,リスト!$Y$22,IF($AD19=1,リスト!$Y$21,IF($AD19=2,リスト!$Y$23,IF($AE19&gt;0,リスト!$Y$18,IF($AF19&gt;0,リスト!$Y$19,IF($AG19&gt;0,リスト!$Y$20,IF($AH19&gt;0,リスト!$Y$24,IF($AI19&gt;0,リスト!$Y$25,IF($AJ19&gt;0,リスト!$Y$26,"")))))))))</f>
        <v/>
      </c>
      <c r="K19" s="211" t="s">
        <v>149</v>
      </c>
      <c r="M19" s="212">
        <f t="shared" si="4"/>
        <v>12</v>
      </c>
      <c r="N19" s="212" t="str">
        <f>IF($C19&lt;&gt;"",VLOOKUP($C19,マスタ!$L$4:$U$51,9,FALSE),"")</f>
        <v/>
      </c>
      <c r="O19" s="212" t="str">
        <f>IF($C19&lt;&gt;"",VLOOKUP($N19,マスタ!$H$4:$I$51,2,TRUE),"")</f>
        <v/>
      </c>
      <c r="P19" s="212" t="str">
        <f>IF($N19&lt;&gt;"",VLOOKUP($N19,マスタ!$T$4:$W$51,3,FALSE),"")</f>
        <v/>
      </c>
      <c r="Q19" s="212" t="str">
        <f>IF($N19&lt;&gt;"",VLOOKUP($N19,マスタ!$T$4:$W$51,4,FALSE),"")</f>
        <v/>
      </c>
      <c r="R19" s="212" t="str">
        <f>IF($D19&lt;&gt;"",VLOOKUP($D19,選手登録!$N$8:$P$57,3,FALSE),"")</f>
        <v/>
      </c>
      <c r="S19" s="212" t="str">
        <f>IF($R19&lt;&gt;"",VLOOKUP($R19,選手登録!$M$8:$V$57,6,FALSE),"")</f>
        <v/>
      </c>
      <c r="T19" s="212" t="str">
        <f>IF($R19&lt;&gt;"",VLOOKUP($R19,選手登録!$M$8:$V$57,7,FALSE),"")</f>
        <v/>
      </c>
      <c r="U19" s="212" t="str">
        <f>IF($R19&lt;&gt;"",IF(VLOOKUP($R19,選手登録!$M$8:$U$57,9,FALSE)&lt;&gt;"",1,0),"")</f>
        <v/>
      </c>
      <c r="V19" s="212" t="str">
        <f>IF($E19&lt;&gt;"",VLOOKUP($E19,馬匹登録!$L$8:$N$57,3,FALSE),"")</f>
        <v/>
      </c>
      <c r="W19" s="212" t="str">
        <f>IF($V19&lt;&gt;"",IF(VLOOKUP($V19,馬匹登録!$N$8:$O$57,2,FALSE)&lt;&gt;"",1,0),"")</f>
        <v/>
      </c>
      <c r="X19" s="212" t="str">
        <f>IF($V19&lt;&gt;"",IF(VLOOKUP($V19,馬匹登録!$N$8:$Q$57,3,FALSE)&lt;&gt;"",1,0),"")</f>
        <v/>
      </c>
      <c r="Y19" s="212" t="str">
        <f>IF($V19&lt;&gt;"",IF(VLOOKUP($V19,馬匹登録!$N$8:$Q$57,4,FALSE)&lt;&gt;"",1,0),"")</f>
        <v/>
      </c>
      <c r="Z19" s="212" t="str">
        <f>IF($G19&lt;&gt;"",VLOOKUP($G19,リスト!$J$2:$K$5,2,FALSE),"")</f>
        <v/>
      </c>
      <c r="AA19" s="212" t="str">
        <f>IF($E19&lt;&gt;"",IFERROR(VLOOKUP($N19,マスタ!$H$4:$R$51,7+VLOOKUP($G19,リスト!$J$2:$K$5,2,FALSE),FALSE),"-"),"")</f>
        <v/>
      </c>
      <c r="AB19" s="212" t="str">
        <f t="shared" si="5"/>
        <v/>
      </c>
      <c r="AC19" s="212">
        <f>IF($AC$6=1,IFERROR(IF(AND($N19&lt;&gt;"",$R19&lt;&gt;""),IF(VLOOKUP($N19,マスタ!$T$4:$AC$51,4+$S19,FALSE)=0,1,0),0),1),0)</f>
        <v>0</v>
      </c>
      <c r="AD19" s="212">
        <f t="shared" si="6"/>
        <v>0</v>
      </c>
      <c r="AE19" s="212">
        <f>IF($AE$6=1,IFERROR(IF($G19="社馬連",IF(IFERROR(VLOOKUP($F19,リスト!$F$10:$H$51,2,FALSE),2)&lt;&gt;0,1,0),0),1),0)</f>
        <v>0</v>
      </c>
      <c r="AF19" s="212">
        <f t="shared" si="7"/>
        <v>0</v>
      </c>
      <c r="AG19" s="212">
        <f t="shared" si="8"/>
        <v>0</v>
      </c>
      <c r="AH19" s="212">
        <f t="shared" si="9"/>
        <v>0</v>
      </c>
      <c r="AI19" s="212">
        <f t="shared" si="10"/>
        <v>0</v>
      </c>
      <c r="AJ19" s="212">
        <f t="shared" si="11"/>
        <v>0</v>
      </c>
      <c r="AK19" s="212" t="str">
        <f t="shared" si="12"/>
        <v/>
      </c>
      <c r="AL19" s="212">
        <f t="shared" si="13"/>
        <v>0</v>
      </c>
      <c r="AM19" s="212" t="str">
        <f>IFERROR(VLOOKUP($N19,マスタ!$T$4:$AE$51,12,TRUE),"")</f>
        <v/>
      </c>
      <c r="AO19" s="212" t="str">
        <f t="shared" ca="1" si="14"/>
        <v/>
      </c>
      <c r="AP19" s="212" t="str">
        <f t="shared" ca="1" si="15"/>
        <v/>
      </c>
      <c r="AQ19" s="212" t="str">
        <f t="shared" ca="1" si="16"/>
        <v/>
      </c>
      <c r="AR19" s="212" t="str">
        <f t="shared" ca="1" si="0"/>
        <v/>
      </c>
      <c r="AS19" s="212" t="str">
        <f t="shared" ca="1" si="17"/>
        <v/>
      </c>
      <c r="AT19" s="212" t="str">
        <f t="shared" ca="1" si="18"/>
        <v/>
      </c>
      <c r="AU19" s="212" t="str">
        <f t="shared" ca="1" si="19"/>
        <v/>
      </c>
      <c r="AV19" s="212" t="str">
        <f t="shared" ca="1" si="20"/>
        <v/>
      </c>
      <c r="AX19" s="212">
        <f t="shared" si="21"/>
        <v>0</v>
      </c>
      <c r="AY19" s="212">
        <f t="shared" si="22"/>
        <v>12</v>
      </c>
      <c r="AZ19" s="212" t="str">
        <f t="shared" ca="1" si="23"/>
        <v/>
      </c>
      <c r="BA19" s="212" t="str">
        <f t="shared" si="1"/>
        <v/>
      </c>
      <c r="BB19" s="212" t="str">
        <f t="shared" si="24"/>
        <v/>
      </c>
      <c r="BC19" s="212" t="str">
        <f t="shared" ca="1" si="2"/>
        <v/>
      </c>
    </row>
    <row r="20" spans="1:55" ht="24" customHeight="1" x14ac:dyDescent="0.15">
      <c r="A20" s="234">
        <v>13</v>
      </c>
      <c r="B20" s="235" t="str">
        <f>IF($C20&lt;&gt;"",VLOOKUP($N20,マスタ!$H$4:$K$51,3,TRUE),"")</f>
        <v/>
      </c>
      <c r="C20" s="236"/>
      <c r="D20" s="236"/>
      <c r="E20" s="236"/>
      <c r="F20" s="237" t="str">
        <f>IF($R20&lt;&gt;"",IF(VLOOKUP($R20,選手登録!$A$8:$H$57,8,FALSE)&lt;&gt;"",VLOOKUP($R20,選手登録!$A$8:$H$57,8,FALSE),団体登録!$B$7),"")</f>
        <v/>
      </c>
      <c r="G20" s="238"/>
      <c r="H20" s="333" t="str">
        <f t="shared" si="3"/>
        <v/>
      </c>
      <c r="I20" s="239"/>
      <c r="J20" s="233" t="str">
        <f>IF($AC20&gt;0,リスト!$Y$22,IF($AD20=1,リスト!$Y$21,IF($AD20=2,リスト!$Y$23,IF($AE20&gt;0,リスト!$Y$18,IF($AF20&gt;0,リスト!$Y$19,IF($AG20&gt;0,リスト!$Y$20,IF($AH20&gt;0,リスト!$Y$24,IF($AI20&gt;0,リスト!$Y$25,IF($AJ20&gt;0,リスト!$Y$26,"")))))))))</f>
        <v/>
      </c>
      <c r="K20" s="211" t="s">
        <v>149</v>
      </c>
      <c r="M20" s="212">
        <f t="shared" si="4"/>
        <v>13</v>
      </c>
      <c r="N20" s="212" t="str">
        <f>IF($C20&lt;&gt;"",VLOOKUP($C20,マスタ!$L$4:$U$51,9,FALSE),"")</f>
        <v/>
      </c>
      <c r="O20" s="212" t="str">
        <f>IF($C20&lt;&gt;"",VLOOKUP($N20,マスタ!$H$4:$I$51,2,TRUE),"")</f>
        <v/>
      </c>
      <c r="P20" s="212" t="str">
        <f>IF($N20&lt;&gt;"",VLOOKUP($N20,マスタ!$T$4:$W$51,3,FALSE),"")</f>
        <v/>
      </c>
      <c r="Q20" s="212" t="str">
        <f>IF($N20&lt;&gt;"",VLOOKUP($N20,マスタ!$T$4:$W$51,4,FALSE),"")</f>
        <v/>
      </c>
      <c r="R20" s="212" t="str">
        <f>IF($D20&lt;&gt;"",VLOOKUP($D20,選手登録!$N$8:$P$57,3,FALSE),"")</f>
        <v/>
      </c>
      <c r="S20" s="212" t="str">
        <f>IF($R20&lt;&gt;"",VLOOKUP($R20,選手登録!$M$8:$V$57,6,FALSE),"")</f>
        <v/>
      </c>
      <c r="T20" s="212" t="str">
        <f>IF($R20&lt;&gt;"",VLOOKUP($R20,選手登録!$M$8:$V$57,7,FALSE),"")</f>
        <v/>
      </c>
      <c r="U20" s="212" t="str">
        <f>IF($R20&lt;&gt;"",IF(VLOOKUP($R20,選手登録!$M$8:$U$57,9,FALSE)&lt;&gt;"",1,0),"")</f>
        <v/>
      </c>
      <c r="V20" s="212" t="str">
        <f>IF($E20&lt;&gt;"",VLOOKUP($E20,馬匹登録!$L$8:$N$57,3,FALSE),"")</f>
        <v/>
      </c>
      <c r="W20" s="212" t="str">
        <f>IF($V20&lt;&gt;"",IF(VLOOKUP($V20,馬匹登録!$N$8:$O$57,2,FALSE)&lt;&gt;"",1,0),"")</f>
        <v/>
      </c>
      <c r="X20" s="212" t="str">
        <f>IF($V20&lt;&gt;"",IF(VLOOKUP($V20,馬匹登録!$N$8:$Q$57,3,FALSE)&lt;&gt;"",1,0),"")</f>
        <v/>
      </c>
      <c r="Y20" s="212" t="str">
        <f>IF($V20&lt;&gt;"",IF(VLOOKUP($V20,馬匹登録!$N$8:$Q$57,4,FALSE)&lt;&gt;"",1,0),"")</f>
        <v/>
      </c>
      <c r="Z20" s="212" t="str">
        <f>IF($G20&lt;&gt;"",VLOOKUP($G20,リスト!$J$2:$K$5,2,FALSE),"")</f>
        <v/>
      </c>
      <c r="AA20" s="212" t="str">
        <f>IF($E20&lt;&gt;"",IFERROR(VLOOKUP($N20,マスタ!$H$4:$R$51,7+VLOOKUP($G20,リスト!$J$2:$K$5,2,FALSE),FALSE),"-"),"")</f>
        <v/>
      </c>
      <c r="AB20" s="212" t="str">
        <f t="shared" si="5"/>
        <v/>
      </c>
      <c r="AC20" s="212">
        <f>IF($AC$6=1,IFERROR(IF(AND($N20&lt;&gt;"",$R20&lt;&gt;""),IF(VLOOKUP($N20,マスタ!$T$4:$AC$51,4+$S20,FALSE)=0,1,0),0),1),0)</f>
        <v>0</v>
      </c>
      <c r="AD20" s="212">
        <f t="shared" si="6"/>
        <v>0</v>
      </c>
      <c r="AE20" s="212">
        <f>IF($AE$6=1,IFERROR(IF($G20="社馬連",IF(IFERROR(VLOOKUP($F20,リスト!$F$10:$H$51,2,FALSE),2)&lt;&gt;0,1,0),0),1),0)</f>
        <v>0</v>
      </c>
      <c r="AF20" s="212">
        <f t="shared" si="7"/>
        <v>0</v>
      </c>
      <c r="AG20" s="212">
        <f t="shared" si="8"/>
        <v>0</v>
      </c>
      <c r="AH20" s="212">
        <f t="shared" si="9"/>
        <v>0</v>
      </c>
      <c r="AI20" s="212">
        <f t="shared" si="10"/>
        <v>0</v>
      </c>
      <c r="AJ20" s="212">
        <f t="shared" si="11"/>
        <v>0</v>
      </c>
      <c r="AK20" s="212" t="str">
        <f t="shared" si="12"/>
        <v/>
      </c>
      <c r="AL20" s="212">
        <f t="shared" si="13"/>
        <v>0</v>
      </c>
      <c r="AM20" s="212" t="str">
        <f>IFERROR(VLOOKUP($N20,マスタ!$T$4:$AE$51,12,TRUE),"")</f>
        <v/>
      </c>
      <c r="AO20" s="212" t="str">
        <f t="shared" ca="1" si="14"/>
        <v/>
      </c>
      <c r="AP20" s="212" t="str">
        <f t="shared" ca="1" si="15"/>
        <v/>
      </c>
      <c r="AQ20" s="212" t="str">
        <f t="shared" ca="1" si="16"/>
        <v/>
      </c>
      <c r="AR20" s="212" t="str">
        <f t="shared" ca="1" si="0"/>
        <v/>
      </c>
      <c r="AS20" s="212" t="str">
        <f t="shared" ca="1" si="17"/>
        <v/>
      </c>
      <c r="AT20" s="212" t="str">
        <f t="shared" ca="1" si="18"/>
        <v/>
      </c>
      <c r="AU20" s="212" t="str">
        <f t="shared" ca="1" si="19"/>
        <v/>
      </c>
      <c r="AV20" s="212" t="str">
        <f t="shared" ca="1" si="20"/>
        <v/>
      </c>
      <c r="AX20" s="212">
        <f t="shared" si="21"/>
        <v>0</v>
      </c>
      <c r="AY20" s="212">
        <f t="shared" si="22"/>
        <v>13</v>
      </c>
      <c r="AZ20" s="212" t="str">
        <f t="shared" ca="1" si="23"/>
        <v/>
      </c>
      <c r="BA20" s="212" t="str">
        <f t="shared" si="1"/>
        <v/>
      </c>
      <c r="BB20" s="212" t="str">
        <f t="shared" si="24"/>
        <v/>
      </c>
      <c r="BC20" s="212" t="str">
        <f t="shared" ca="1" si="2"/>
        <v/>
      </c>
    </row>
    <row r="21" spans="1:55" ht="24" customHeight="1" x14ac:dyDescent="0.15">
      <c r="A21" s="234">
        <v>14</v>
      </c>
      <c r="B21" s="235" t="str">
        <f>IF($C21&lt;&gt;"",VLOOKUP($N21,マスタ!$H$4:$K$51,3,TRUE),"")</f>
        <v/>
      </c>
      <c r="C21" s="236"/>
      <c r="D21" s="236"/>
      <c r="E21" s="236"/>
      <c r="F21" s="237" t="str">
        <f>IF($R21&lt;&gt;"",IF(VLOOKUP($R21,選手登録!$A$8:$H$57,8,FALSE)&lt;&gt;"",VLOOKUP($R21,選手登録!$A$8:$H$57,8,FALSE),団体登録!$B$7),"")</f>
        <v/>
      </c>
      <c r="G21" s="238"/>
      <c r="H21" s="333" t="str">
        <f t="shared" si="3"/>
        <v/>
      </c>
      <c r="I21" s="239"/>
      <c r="J21" s="233" t="str">
        <f>IF($AC21&gt;0,リスト!$Y$22,IF($AD21=1,リスト!$Y$21,IF($AD21=2,リスト!$Y$23,IF($AE21&gt;0,リスト!$Y$18,IF($AF21&gt;0,リスト!$Y$19,IF($AG21&gt;0,リスト!$Y$20,IF($AH21&gt;0,リスト!$Y$24,IF($AI21&gt;0,リスト!$Y$25,IF($AJ21&gt;0,リスト!$Y$26,"")))))))))</f>
        <v/>
      </c>
      <c r="K21" s="211" t="s">
        <v>149</v>
      </c>
      <c r="M21" s="212">
        <f t="shared" si="4"/>
        <v>14</v>
      </c>
      <c r="N21" s="212" t="str">
        <f>IF($C21&lt;&gt;"",VLOOKUP($C21,マスタ!$L$4:$U$51,9,FALSE),"")</f>
        <v/>
      </c>
      <c r="O21" s="212" t="str">
        <f>IF($C21&lt;&gt;"",VLOOKUP($N21,マスタ!$H$4:$I$51,2,TRUE),"")</f>
        <v/>
      </c>
      <c r="P21" s="212" t="str">
        <f>IF($N21&lt;&gt;"",VLOOKUP($N21,マスタ!$T$4:$W$51,3,FALSE),"")</f>
        <v/>
      </c>
      <c r="Q21" s="212" t="str">
        <f>IF($N21&lt;&gt;"",VLOOKUP($N21,マスタ!$T$4:$W$51,4,FALSE),"")</f>
        <v/>
      </c>
      <c r="R21" s="212" t="str">
        <f>IF($D21&lt;&gt;"",VLOOKUP($D21,選手登録!$N$8:$P$57,3,FALSE),"")</f>
        <v/>
      </c>
      <c r="S21" s="212" t="str">
        <f>IF($R21&lt;&gt;"",VLOOKUP($R21,選手登録!$M$8:$V$57,6,FALSE),"")</f>
        <v/>
      </c>
      <c r="T21" s="212" t="str">
        <f>IF($R21&lt;&gt;"",VLOOKUP($R21,選手登録!$M$8:$V$57,7,FALSE),"")</f>
        <v/>
      </c>
      <c r="U21" s="212" t="str">
        <f>IF($R21&lt;&gt;"",IF(VLOOKUP($R21,選手登録!$M$8:$U$57,9,FALSE)&lt;&gt;"",1,0),"")</f>
        <v/>
      </c>
      <c r="V21" s="212" t="str">
        <f>IF($E21&lt;&gt;"",VLOOKUP($E21,馬匹登録!$L$8:$N$57,3,FALSE),"")</f>
        <v/>
      </c>
      <c r="W21" s="212" t="str">
        <f>IF($V21&lt;&gt;"",IF(VLOOKUP($V21,馬匹登録!$N$8:$O$57,2,FALSE)&lt;&gt;"",1,0),"")</f>
        <v/>
      </c>
      <c r="X21" s="212" t="str">
        <f>IF($V21&lt;&gt;"",IF(VLOOKUP($V21,馬匹登録!$N$8:$Q$57,3,FALSE)&lt;&gt;"",1,0),"")</f>
        <v/>
      </c>
      <c r="Y21" s="212" t="str">
        <f>IF($V21&lt;&gt;"",IF(VLOOKUP($V21,馬匹登録!$N$8:$Q$57,4,FALSE)&lt;&gt;"",1,0),"")</f>
        <v/>
      </c>
      <c r="Z21" s="212" t="str">
        <f>IF($G21&lt;&gt;"",VLOOKUP($G21,リスト!$J$2:$K$5,2,FALSE),"")</f>
        <v/>
      </c>
      <c r="AA21" s="212" t="str">
        <f>IF($E21&lt;&gt;"",IFERROR(VLOOKUP($N21,マスタ!$H$4:$R$51,7+VLOOKUP($G21,リスト!$J$2:$K$5,2,FALSE),FALSE),"-"),"")</f>
        <v/>
      </c>
      <c r="AB21" s="212" t="str">
        <f t="shared" si="5"/>
        <v/>
      </c>
      <c r="AC21" s="212">
        <f>IF($AC$6=1,IFERROR(IF(AND($N21&lt;&gt;"",$R21&lt;&gt;""),IF(VLOOKUP($N21,マスタ!$T$4:$AC$51,4+$S21,FALSE)=0,1,0),0),1),0)</f>
        <v>0</v>
      </c>
      <c r="AD21" s="212">
        <f t="shared" si="6"/>
        <v>0</v>
      </c>
      <c r="AE21" s="212">
        <f>IF($AE$6=1,IFERROR(IF($G21="社馬連",IF(IFERROR(VLOOKUP($F21,リスト!$F$10:$H$51,2,FALSE),2)&lt;&gt;0,1,0),0),1),0)</f>
        <v>0</v>
      </c>
      <c r="AF21" s="212">
        <f t="shared" si="7"/>
        <v>0</v>
      </c>
      <c r="AG21" s="212">
        <f t="shared" si="8"/>
        <v>0</v>
      </c>
      <c r="AH21" s="212">
        <f t="shared" si="9"/>
        <v>0</v>
      </c>
      <c r="AI21" s="212">
        <f t="shared" si="10"/>
        <v>0</v>
      </c>
      <c r="AJ21" s="212">
        <f t="shared" si="11"/>
        <v>0</v>
      </c>
      <c r="AK21" s="212" t="str">
        <f t="shared" si="12"/>
        <v/>
      </c>
      <c r="AL21" s="212">
        <f t="shared" si="13"/>
        <v>0</v>
      </c>
      <c r="AM21" s="212" t="str">
        <f>IFERROR(VLOOKUP($N21,マスタ!$T$4:$AE$51,12,TRUE),"")</f>
        <v/>
      </c>
      <c r="AO21" s="212" t="str">
        <f t="shared" ca="1" si="14"/>
        <v/>
      </c>
      <c r="AP21" s="212" t="str">
        <f t="shared" ca="1" si="15"/>
        <v/>
      </c>
      <c r="AQ21" s="212" t="str">
        <f t="shared" ca="1" si="16"/>
        <v/>
      </c>
      <c r="AR21" s="212" t="str">
        <f t="shared" ca="1" si="0"/>
        <v/>
      </c>
      <c r="AS21" s="212" t="str">
        <f t="shared" ca="1" si="17"/>
        <v/>
      </c>
      <c r="AT21" s="212" t="str">
        <f t="shared" ca="1" si="18"/>
        <v/>
      </c>
      <c r="AU21" s="212" t="str">
        <f t="shared" ca="1" si="19"/>
        <v/>
      </c>
      <c r="AV21" s="212" t="str">
        <f t="shared" ca="1" si="20"/>
        <v/>
      </c>
      <c r="AX21" s="212">
        <f t="shared" si="21"/>
        <v>0</v>
      </c>
      <c r="AY21" s="212">
        <f t="shared" si="22"/>
        <v>14</v>
      </c>
      <c r="AZ21" s="212" t="str">
        <f t="shared" ca="1" si="23"/>
        <v/>
      </c>
      <c r="BA21" s="212" t="str">
        <f t="shared" si="1"/>
        <v/>
      </c>
      <c r="BB21" s="212" t="str">
        <f t="shared" si="24"/>
        <v/>
      </c>
      <c r="BC21" s="212" t="str">
        <f t="shared" ca="1" si="2"/>
        <v/>
      </c>
    </row>
    <row r="22" spans="1:55" ht="24" customHeight="1" x14ac:dyDescent="0.15">
      <c r="A22" s="234">
        <v>15</v>
      </c>
      <c r="B22" s="235" t="str">
        <f>IF($C22&lt;&gt;"",VLOOKUP($N22,マスタ!$H$4:$K$51,3,TRUE),"")</f>
        <v/>
      </c>
      <c r="C22" s="236"/>
      <c r="D22" s="236"/>
      <c r="E22" s="236"/>
      <c r="F22" s="237" t="str">
        <f>IF($R22&lt;&gt;"",IF(VLOOKUP($R22,選手登録!$A$8:$H$57,8,FALSE)&lt;&gt;"",VLOOKUP($R22,選手登録!$A$8:$H$57,8,FALSE),団体登録!$B$7),"")</f>
        <v/>
      </c>
      <c r="G22" s="238"/>
      <c r="H22" s="333" t="str">
        <f t="shared" si="3"/>
        <v/>
      </c>
      <c r="I22" s="239"/>
      <c r="J22" s="233" t="str">
        <f>IF($AC22&gt;0,リスト!$Y$22,IF($AD22=1,リスト!$Y$21,IF($AD22=2,リスト!$Y$23,IF($AE22&gt;0,リスト!$Y$18,IF($AF22&gt;0,リスト!$Y$19,IF($AG22&gt;0,リスト!$Y$20,IF($AH22&gt;0,リスト!$Y$24,IF($AI22&gt;0,リスト!$Y$25,IF($AJ22&gt;0,リスト!$Y$26,"")))))))))</f>
        <v/>
      </c>
      <c r="K22" s="211" t="s">
        <v>149</v>
      </c>
      <c r="M22" s="212">
        <f t="shared" si="4"/>
        <v>15</v>
      </c>
      <c r="N22" s="212" t="str">
        <f>IF($C22&lt;&gt;"",VLOOKUP($C22,マスタ!$L$4:$U$51,9,FALSE),"")</f>
        <v/>
      </c>
      <c r="O22" s="212" t="str">
        <f>IF($C22&lt;&gt;"",VLOOKUP($N22,マスタ!$H$4:$I$51,2,TRUE),"")</f>
        <v/>
      </c>
      <c r="P22" s="212" t="str">
        <f>IF($N22&lt;&gt;"",VLOOKUP($N22,マスタ!$T$4:$W$51,3,FALSE),"")</f>
        <v/>
      </c>
      <c r="Q22" s="212" t="str">
        <f>IF($N22&lt;&gt;"",VLOOKUP($N22,マスタ!$T$4:$W$51,4,FALSE),"")</f>
        <v/>
      </c>
      <c r="R22" s="212" t="str">
        <f>IF($D22&lt;&gt;"",VLOOKUP($D22,選手登録!$N$8:$P$57,3,FALSE),"")</f>
        <v/>
      </c>
      <c r="S22" s="212" t="str">
        <f>IF($R22&lt;&gt;"",VLOOKUP($R22,選手登録!$M$8:$V$57,6,FALSE),"")</f>
        <v/>
      </c>
      <c r="T22" s="212" t="str">
        <f>IF($R22&lt;&gt;"",VLOOKUP($R22,選手登録!$M$8:$V$57,7,FALSE),"")</f>
        <v/>
      </c>
      <c r="U22" s="212" t="str">
        <f>IF($R22&lt;&gt;"",IF(VLOOKUP($R22,選手登録!$M$8:$U$57,9,FALSE)&lt;&gt;"",1,0),"")</f>
        <v/>
      </c>
      <c r="V22" s="212" t="str">
        <f>IF($E22&lt;&gt;"",VLOOKUP($E22,馬匹登録!$L$8:$N$57,3,FALSE),"")</f>
        <v/>
      </c>
      <c r="W22" s="212" t="str">
        <f>IF($V22&lt;&gt;"",IF(VLOOKUP($V22,馬匹登録!$N$8:$O$57,2,FALSE)&lt;&gt;"",1,0),"")</f>
        <v/>
      </c>
      <c r="X22" s="212" t="str">
        <f>IF($V22&lt;&gt;"",IF(VLOOKUP($V22,馬匹登録!$N$8:$Q$57,3,FALSE)&lt;&gt;"",1,0),"")</f>
        <v/>
      </c>
      <c r="Y22" s="212" t="str">
        <f>IF($V22&lt;&gt;"",IF(VLOOKUP($V22,馬匹登録!$N$8:$Q$57,4,FALSE)&lt;&gt;"",1,0),"")</f>
        <v/>
      </c>
      <c r="Z22" s="212" t="str">
        <f>IF($G22&lt;&gt;"",VLOOKUP($G22,リスト!$J$2:$K$5,2,FALSE),"")</f>
        <v/>
      </c>
      <c r="AA22" s="212" t="str">
        <f>IF($E22&lt;&gt;"",IFERROR(VLOOKUP($N22,マスタ!$H$4:$R$51,7+VLOOKUP($G22,リスト!$J$2:$K$5,2,FALSE),FALSE),"-"),"")</f>
        <v/>
      </c>
      <c r="AB22" s="212" t="str">
        <f t="shared" si="5"/>
        <v/>
      </c>
      <c r="AC22" s="212">
        <f>IF($AC$6=1,IFERROR(IF(AND($N22&lt;&gt;"",$R22&lt;&gt;""),IF(VLOOKUP($N22,マスタ!$T$4:$AC$51,4+$S22,FALSE)=0,1,0),0),1),0)</f>
        <v>0</v>
      </c>
      <c r="AD22" s="212">
        <f t="shared" si="6"/>
        <v>0</v>
      </c>
      <c r="AE22" s="212">
        <f>IF($AE$6=1,IFERROR(IF($G22="社馬連",IF(IFERROR(VLOOKUP($F22,リスト!$F$10:$H$51,2,FALSE),2)&lt;&gt;0,1,0),0),1),0)</f>
        <v>0</v>
      </c>
      <c r="AF22" s="212">
        <f t="shared" si="7"/>
        <v>0</v>
      </c>
      <c r="AG22" s="212">
        <f t="shared" si="8"/>
        <v>0</v>
      </c>
      <c r="AH22" s="212">
        <f t="shared" si="9"/>
        <v>0</v>
      </c>
      <c r="AI22" s="212">
        <f t="shared" si="10"/>
        <v>0</v>
      </c>
      <c r="AJ22" s="212">
        <f t="shared" si="11"/>
        <v>0</v>
      </c>
      <c r="AK22" s="212" t="str">
        <f t="shared" si="12"/>
        <v/>
      </c>
      <c r="AL22" s="212">
        <f t="shared" si="13"/>
        <v>0</v>
      </c>
      <c r="AM22" s="212" t="str">
        <f>IFERROR(VLOOKUP($N22,マスタ!$T$4:$AE$51,12,TRUE),"")</f>
        <v/>
      </c>
      <c r="AO22" s="212" t="str">
        <f t="shared" ca="1" si="14"/>
        <v/>
      </c>
      <c r="AP22" s="212" t="str">
        <f t="shared" ca="1" si="15"/>
        <v/>
      </c>
      <c r="AQ22" s="212" t="str">
        <f t="shared" ca="1" si="16"/>
        <v/>
      </c>
      <c r="AR22" s="212" t="str">
        <f t="shared" ca="1" si="0"/>
        <v/>
      </c>
      <c r="AS22" s="212" t="str">
        <f t="shared" ca="1" si="17"/>
        <v/>
      </c>
      <c r="AT22" s="212" t="str">
        <f t="shared" ca="1" si="18"/>
        <v/>
      </c>
      <c r="AU22" s="212" t="str">
        <f t="shared" ca="1" si="19"/>
        <v/>
      </c>
      <c r="AV22" s="212" t="str">
        <f t="shared" ca="1" si="20"/>
        <v/>
      </c>
      <c r="AX22" s="212">
        <f t="shared" si="21"/>
        <v>0</v>
      </c>
      <c r="AY22" s="212">
        <f t="shared" si="22"/>
        <v>15</v>
      </c>
      <c r="AZ22" s="212" t="str">
        <f t="shared" ca="1" si="23"/>
        <v/>
      </c>
      <c r="BA22" s="212" t="str">
        <f t="shared" si="1"/>
        <v/>
      </c>
      <c r="BB22" s="212" t="str">
        <f t="shared" si="24"/>
        <v/>
      </c>
      <c r="BC22" s="212" t="str">
        <f t="shared" ca="1" si="2"/>
        <v/>
      </c>
    </row>
    <row r="23" spans="1:55" ht="24" customHeight="1" x14ac:dyDescent="0.15">
      <c r="A23" s="234">
        <v>16</v>
      </c>
      <c r="B23" s="235" t="str">
        <f>IF($C23&lt;&gt;"",VLOOKUP($N23,マスタ!$H$4:$K$51,3,TRUE),"")</f>
        <v/>
      </c>
      <c r="C23" s="236"/>
      <c r="D23" s="236"/>
      <c r="E23" s="236"/>
      <c r="F23" s="237" t="str">
        <f>IF($R23&lt;&gt;"",IF(VLOOKUP($R23,選手登録!$A$8:$H$57,8,FALSE)&lt;&gt;"",VLOOKUP($R23,選手登録!$A$8:$H$57,8,FALSE),団体登録!$B$7),"")</f>
        <v/>
      </c>
      <c r="G23" s="238"/>
      <c r="H23" s="333" t="str">
        <f t="shared" si="3"/>
        <v/>
      </c>
      <c r="I23" s="239"/>
      <c r="J23" s="233" t="str">
        <f>IF($AC23&gt;0,リスト!$Y$22,IF($AD23=1,リスト!$Y$21,IF($AD23=2,リスト!$Y$23,IF($AE23&gt;0,リスト!$Y$18,IF($AF23&gt;0,リスト!$Y$19,IF($AG23&gt;0,リスト!$Y$20,IF($AH23&gt;0,リスト!$Y$24,IF($AI23&gt;0,リスト!$Y$25,IF($AJ23&gt;0,リスト!$Y$26,"")))))))))</f>
        <v/>
      </c>
      <c r="K23" s="211" t="s">
        <v>149</v>
      </c>
      <c r="M23" s="212">
        <f t="shared" si="4"/>
        <v>16</v>
      </c>
      <c r="N23" s="212" t="str">
        <f>IF($C23&lt;&gt;"",VLOOKUP($C23,マスタ!$L$4:$U$51,9,FALSE),"")</f>
        <v/>
      </c>
      <c r="O23" s="212" t="str">
        <f>IF($C23&lt;&gt;"",VLOOKUP($N23,マスタ!$H$4:$I$51,2,TRUE),"")</f>
        <v/>
      </c>
      <c r="P23" s="212" t="str">
        <f>IF($N23&lt;&gt;"",VLOOKUP($N23,マスタ!$T$4:$W$51,3,FALSE),"")</f>
        <v/>
      </c>
      <c r="Q23" s="212" t="str">
        <f>IF($N23&lt;&gt;"",VLOOKUP($N23,マスタ!$T$4:$W$51,4,FALSE),"")</f>
        <v/>
      </c>
      <c r="R23" s="212" t="str">
        <f>IF($D23&lt;&gt;"",VLOOKUP($D23,選手登録!$N$8:$P$57,3,FALSE),"")</f>
        <v/>
      </c>
      <c r="S23" s="212" t="str">
        <f>IF($R23&lt;&gt;"",VLOOKUP($R23,選手登録!$M$8:$V$57,6,FALSE),"")</f>
        <v/>
      </c>
      <c r="T23" s="212" t="str">
        <f>IF($R23&lt;&gt;"",VLOOKUP($R23,選手登録!$M$8:$V$57,7,FALSE),"")</f>
        <v/>
      </c>
      <c r="U23" s="212" t="str">
        <f>IF($R23&lt;&gt;"",IF(VLOOKUP($R23,選手登録!$M$8:$U$57,9,FALSE)&lt;&gt;"",1,0),"")</f>
        <v/>
      </c>
      <c r="V23" s="212" t="str">
        <f>IF($E23&lt;&gt;"",VLOOKUP($E23,馬匹登録!$L$8:$N$57,3,FALSE),"")</f>
        <v/>
      </c>
      <c r="W23" s="212" t="str">
        <f>IF($V23&lt;&gt;"",IF(VLOOKUP($V23,馬匹登録!$N$8:$O$57,2,FALSE)&lt;&gt;"",1,0),"")</f>
        <v/>
      </c>
      <c r="X23" s="212" t="str">
        <f>IF($V23&lt;&gt;"",IF(VLOOKUP($V23,馬匹登録!$N$8:$Q$57,3,FALSE)&lt;&gt;"",1,0),"")</f>
        <v/>
      </c>
      <c r="Y23" s="212" t="str">
        <f>IF($V23&lt;&gt;"",IF(VLOOKUP($V23,馬匹登録!$N$8:$Q$57,4,FALSE)&lt;&gt;"",1,0),"")</f>
        <v/>
      </c>
      <c r="Z23" s="212" t="str">
        <f>IF($G23&lt;&gt;"",VLOOKUP($G23,リスト!$J$2:$K$5,2,FALSE),"")</f>
        <v/>
      </c>
      <c r="AA23" s="212" t="str">
        <f>IF($E23&lt;&gt;"",IFERROR(VLOOKUP($N23,マスタ!$H$4:$R$51,7+VLOOKUP($G23,リスト!$J$2:$K$5,2,FALSE),FALSE),"-"),"")</f>
        <v/>
      </c>
      <c r="AB23" s="212" t="str">
        <f t="shared" si="5"/>
        <v/>
      </c>
      <c r="AC23" s="212">
        <f>IF($AC$6=1,IFERROR(IF(AND($N23&lt;&gt;"",$R23&lt;&gt;""),IF(VLOOKUP($N23,マスタ!$T$4:$AC$51,4+$S23,FALSE)=0,1,0),0),1),0)</f>
        <v>0</v>
      </c>
      <c r="AD23" s="212">
        <f t="shared" si="6"/>
        <v>0</v>
      </c>
      <c r="AE23" s="212">
        <f>IF($AE$6=1,IFERROR(IF($G23="社馬連",IF(IFERROR(VLOOKUP($F23,リスト!$F$10:$H$51,2,FALSE),2)&lt;&gt;0,1,0),0),1),0)</f>
        <v>0</v>
      </c>
      <c r="AF23" s="212">
        <f t="shared" si="7"/>
        <v>0</v>
      </c>
      <c r="AG23" s="212">
        <f t="shared" si="8"/>
        <v>0</v>
      </c>
      <c r="AH23" s="212">
        <f t="shared" si="9"/>
        <v>0</v>
      </c>
      <c r="AI23" s="212">
        <f t="shared" si="10"/>
        <v>0</v>
      </c>
      <c r="AJ23" s="212">
        <f t="shared" si="11"/>
        <v>0</v>
      </c>
      <c r="AK23" s="212" t="str">
        <f t="shared" si="12"/>
        <v/>
      </c>
      <c r="AL23" s="212">
        <f t="shared" si="13"/>
        <v>0</v>
      </c>
      <c r="AM23" s="212" t="str">
        <f>IFERROR(VLOOKUP($N23,マスタ!$T$4:$AE$51,12,TRUE),"")</f>
        <v/>
      </c>
      <c r="AO23" s="212" t="str">
        <f t="shared" ca="1" si="14"/>
        <v/>
      </c>
      <c r="AP23" s="212" t="str">
        <f t="shared" ca="1" si="15"/>
        <v/>
      </c>
      <c r="AQ23" s="212" t="str">
        <f t="shared" ca="1" si="16"/>
        <v/>
      </c>
      <c r="AR23" s="212" t="str">
        <f t="shared" ca="1" si="0"/>
        <v/>
      </c>
      <c r="AS23" s="212" t="str">
        <f t="shared" ca="1" si="17"/>
        <v/>
      </c>
      <c r="AT23" s="212" t="str">
        <f t="shared" ca="1" si="18"/>
        <v/>
      </c>
      <c r="AU23" s="212" t="str">
        <f t="shared" ca="1" si="19"/>
        <v/>
      </c>
      <c r="AV23" s="212" t="str">
        <f t="shared" ca="1" si="20"/>
        <v/>
      </c>
      <c r="AX23" s="212">
        <f t="shared" si="21"/>
        <v>0</v>
      </c>
      <c r="AY23" s="212">
        <f t="shared" si="22"/>
        <v>16</v>
      </c>
      <c r="AZ23" s="212" t="str">
        <f t="shared" ca="1" si="23"/>
        <v/>
      </c>
      <c r="BA23" s="212" t="str">
        <f t="shared" si="1"/>
        <v/>
      </c>
      <c r="BB23" s="212" t="str">
        <f t="shared" si="24"/>
        <v/>
      </c>
      <c r="BC23" s="212" t="str">
        <f t="shared" ca="1" si="2"/>
        <v/>
      </c>
    </row>
    <row r="24" spans="1:55" ht="24" customHeight="1" x14ac:dyDescent="0.15">
      <c r="A24" s="234">
        <v>17</v>
      </c>
      <c r="B24" s="235" t="str">
        <f>IF($C24&lt;&gt;"",VLOOKUP($N24,マスタ!$H$4:$K$51,3,TRUE),"")</f>
        <v/>
      </c>
      <c r="C24" s="236"/>
      <c r="D24" s="236"/>
      <c r="E24" s="236"/>
      <c r="F24" s="237" t="str">
        <f>IF($R24&lt;&gt;"",IF(VLOOKUP($R24,選手登録!$A$8:$H$57,8,FALSE)&lt;&gt;"",VLOOKUP($R24,選手登録!$A$8:$H$57,8,FALSE),団体登録!$B$7),"")</f>
        <v/>
      </c>
      <c r="G24" s="238"/>
      <c r="H24" s="333" t="str">
        <f t="shared" si="3"/>
        <v/>
      </c>
      <c r="I24" s="239"/>
      <c r="J24" s="233" t="str">
        <f>IF($AC24&gt;0,リスト!$Y$22,IF($AD24=1,リスト!$Y$21,IF($AD24=2,リスト!$Y$23,IF($AE24&gt;0,リスト!$Y$18,IF($AF24&gt;0,リスト!$Y$19,IF($AG24&gt;0,リスト!$Y$20,IF($AH24&gt;0,リスト!$Y$24,IF($AI24&gt;0,リスト!$Y$25,IF($AJ24&gt;0,リスト!$Y$26,"")))))))))</f>
        <v/>
      </c>
      <c r="K24" s="211" t="s">
        <v>149</v>
      </c>
      <c r="M24" s="212">
        <f t="shared" si="4"/>
        <v>17</v>
      </c>
      <c r="N24" s="212" t="str">
        <f>IF($C24&lt;&gt;"",VLOOKUP($C24,マスタ!$L$4:$U$51,9,FALSE),"")</f>
        <v/>
      </c>
      <c r="O24" s="212" t="str">
        <f>IF($C24&lt;&gt;"",VLOOKUP($N24,マスタ!$H$4:$I$51,2,TRUE),"")</f>
        <v/>
      </c>
      <c r="P24" s="212" t="str">
        <f>IF($N24&lt;&gt;"",VLOOKUP($N24,マスタ!$T$4:$W$51,3,FALSE),"")</f>
        <v/>
      </c>
      <c r="Q24" s="212" t="str">
        <f>IF($N24&lt;&gt;"",VLOOKUP($N24,マスタ!$T$4:$W$51,4,FALSE),"")</f>
        <v/>
      </c>
      <c r="R24" s="212" t="str">
        <f>IF($D24&lt;&gt;"",VLOOKUP($D24,選手登録!$N$8:$P$57,3,FALSE),"")</f>
        <v/>
      </c>
      <c r="S24" s="212" t="str">
        <f>IF($R24&lt;&gt;"",VLOOKUP($R24,選手登録!$M$8:$V$57,6,FALSE),"")</f>
        <v/>
      </c>
      <c r="T24" s="212" t="str">
        <f>IF($R24&lt;&gt;"",VLOOKUP($R24,選手登録!$M$8:$V$57,7,FALSE),"")</f>
        <v/>
      </c>
      <c r="U24" s="212" t="str">
        <f>IF($R24&lt;&gt;"",IF(VLOOKUP($R24,選手登録!$M$8:$U$57,9,FALSE)&lt;&gt;"",1,0),"")</f>
        <v/>
      </c>
      <c r="V24" s="212" t="str">
        <f>IF($E24&lt;&gt;"",VLOOKUP($E24,馬匹登録!$L$8:$N$57,3,FALSE),"")</f>
        <v/>
      </c>
      <c r="W24" s="212" t="str">
        <f>IF($V24&lt;&gt;"",IF(VLOOKUP($V24,馬匹登録!$N$8:$O$57,2,FALSE)&lt;&gt;"",1,0),"")</f>
        <v/>
      </c>
      <c r="X24" s="212" t="str">
        <f>IF($V24&lt;&gt;"",IF(VLOOKUP($V24,馬匹登録!$N$8:$Q$57,3,FALSE)&lt;&gt;"",1,0),"")</f>
        <v/>
      </c>
      <c r="Y24" s="212" t="str">
        <f>IF($V24&lt;&gt;"",IF(VLOOKUP($V24,馬匹登録!$N$8:$Q$57,4,FALSE)&lt;&gt;"",1,0),"")</f>
        <v/>
      </c>
      <c r="Z24" s="212" t="str">
        <f>IF($G24&lt;&gt;"",VLOOKUP($G24,リスト!$J$2:$K$5,2,FALSE),"")</f>
        <v/>
      </c>
      <c r="AA24" s="212" t="str">
        <f>IF($E24&lt;&gt;"",IFERROR(VLOOKUP($N24,マスタ!$H$4:$R$51,7+VLOOKUP($G24,リスト!$J$2:$K$5,2,FALSE),FALSE),"-"),"")</f>
        <v/>
      </c>
      <c r="AB24" s="212" t="str">
        <f t="shared" si="5"/>
        <v/>
      </c>
      <c r="AC24" s="212">
        <f>IF($AC$6=1,IFERROR(IF(AND($N24&lt;&gt;"",$R24&lt;&gt;""),IF(VLOOKUP($N24,マスタ!$T$4:$AC$51,4+$S24,FALSE)=0,1,0),0),1),0)</f>
        <v>0</v>
      </c>
      <c r="AD24" s="212">
        <f t="shared" si="6"/>
        <v>0</v>
      </c>
      <c r="AE24" s="212">
        <f>IF($AE$6=1,IFERROR(IF($G24="社馬連",IF(IFERROR(VLOOKUP($F24,リスト!$F$10:$H$51,2,FALSE),2)&lt;&gt;0,1,0),0),1),0)</f>
        <v>0</v>
      </c>
      <c r="AF24" s="212">
        <f t="shared" si="7"/>
        <v>0</v>
      </c>
      <c r="AG24" s="212">
        <f t="shared" si="8"/>
        <v>0</v>
      </c>
      <c r="AH24" s="212">
        <f t="shared" si="9"/>
        <v>0</v>
      </c>
      <c r="AI24" s="212">
        <f t="shared" si="10"/>
        <v>0</v>
      </c>
      <c r="AJ24" s="212">
        <f t="shared" si="11"/>
        <v>0</v>
      </c>
      <c r="AK24" s="212" t="str">
        <f t="shared" si="12"/>
        <v/>
      </c>
      <c r="AL24" s="212">
        <f t="shared" si="13"/>
        <v>0</v>
      </c>
      <c r="AM24" s="212" t="str">
        <f>IFERROR(VLOOKUP($N24,マスタ!$T$4:$AE$51,12,TRUE),"")</f>
        <v/>
      </c>
      <c r="AO24" s="212" t="str">
        <f t="shared" ca="1" si="14"/>
        <v/>
      </c>
      <c r="AP24" s="212" t="str">
        <f t="shared" ca="1" si="15"/>
        <v/>
      </c>
      <c r="AQ24" s="212" t="str">
        <f t="shared" ca="1" si="16"/>
        <v/>
      </c>
      <c r="AR24" s="212" t="str">
        <f t="shared" ca="1" si="0"/>
        <v/>
      </c>
      <c r="AS24" s="212" t="str">
        <f t="shared" ca="1" si="17"/>
        <v/>
      </c>
      <c r="AT24" s="212" t="str">
        <f t="shared" ca="1" si="18"/>
        <v/>
      </c>
      <c r="AU24" s="212" t="str">
        <f t="shared" ca="1" si="19"/>
        <v/>
      </c>
      <c r="AV24" s="212" t="str">
        <f t="shared" ca="1" si="20"/>
        <v/>
      </c>
      <c r="AX24" s="212">
        <f t="shared" si="21"/>
        <v>0</v>
      </c>
      <c r="AY24" s="212">
        <f t="shared" si="22"/>
        <v>17</v>
      </c>
      <c r="AZ24" s="212" t="str">
        <f t="shared" ca="1" si="23"/>
        <v/>
      </c>
      <c r="BA24" s="212" t="str">
        <f t="shared" si="1"/>
        <v/>
      </c>
      <c r="BB24" s="212" t="str">
        <f t="shared" si="24"/>
        <v/>
      </c>
      <c r="BC24" s="212" t="str">
        <f t="shared" ca="1" si="2"/>
        <v/>
      </c>
    </row>
    <row r="25" spans="1:55" ht="24" customHeight="1" x14ac:dyDescent="0.15">
      <c r="A25" s="234">
        <v>18</v>
      </c>
      <c r="B25" s="235" t="str">
        <f>IF($C25&lt;&gt;"",VLOOKUP($N25,マスタ!$H$4:$K$51,3,TRUE),"")</f>
        <v/>
      </c>
      <c r="C25" s="236"/>
      <c r="D25" s="236"/>
      <c r="E25" s="236"/>
      <c r="F25" s="237" t="str">
        <f>IF($R25&lt;&gt;"",IF(VLOOKUP($R25,選手登録!$A$8:$H$57,8,FALSE)&lt;&gt;"",VLOOKUP($R25,選手登録!$A$8:$H$57,8,FALSE),団体登録!$B$7),"")</f>
        <v/>
      </c>
      <c r="G25" s="238"/>
      <c r="H25" s="333" t="str">
        <f t="shared" si="3"/>
        <v/>
      </c>
      <c r="I25" s="239"/>
      <c r="J25" s="233" t="str">
        <f>IF($AC25&gt;0,リスト!$Y$22,IF($AD25=1,リスト!$Y$21,IF($AD25=2,リスト!$Y$23,IF($AE25&gt;0,リスト!$Y$18,IF($AF25&gt;0,リスト!$Y$19,IF($AG25&gt;0,リスト!$Y$20,IF($AH25&gt;0,リスト!$Y$24,IF($AI25&gt;0,リスト!$Y$25,IF($AJ25&gt;0,リスト!$Y$26,"")))))))))</f>
        <v/>
      </c>
      <c r="K25" s="211" t="s">
        <v>149</v>
      </c>
      <c r="M25" s="212">
        <f t="shared" si="4"/>
        <v>18</v>
      </c>
      <c r="N25" s="212" t="str">
        <f>IF($C25&lt;&gt;"",VLOOKUP($C25,マスタ!$L$4:$U$51,9,FALSE),"")</f>
        <v/>
      </c>
      <c r="O25" s="212" t="str">
        <f>IF($C25&lt;&gt;"",VLOOKUP($N25,マスタ!$H$4:$I$51,2,TRUE),"")</f>
        <v/>
      </c>
      <c r="P25" s="212" t="str">
        <f>IF($N25&lt;&gt;"",VLOOKUP($N25,マスタ!$T$4:$W$51,3,FALSE),"")</f>
        <v/>
      </c>
      <c r="Q25" s="212" t="str">
        <f>IF($N25&lt;&gt;"",VLOOKUP($N25,マスタ!$T$4:$W$51,4,FALSE),"")</f>
        <v/>
      </c>
      <c r="R25" s="212" t="str">
        <f>IF($D25&lt;&gt;"",VLOOKUP($D25,選手登録!$N$8:$P$57,3,FALSE),"")</f>
        <v/>
      </c>
      <c r="S25" s="212" t="str">
        <f>IF($R25&lt;&gt;"",VLOOKUP($R25,選手登録!$M$8:$V$57,6,FALSE),"")</f>
        <v/>
      </c>
      <c r="T25" s="212" t="str">
        <f>IF($R25&lt;&gt;"",VLOOKUP($R25,選手登録!$M$8:$V$57,7,FALSE),"")</f>
        <v/>
      </c>
      <c r="U25" s="212" t="str">
        <f>IF($R25&lt;&gt;"",IF(VLOOKUP($R25,選手登録!$M$8:$U$57,9,FALSE)&lt;&gt;"",1,0),"")</f>
        <v/>
      </c>
      <c r="V25" s="212" t="str">
        <f>IF($E25&lt;&gt;"",VLOOKUP($E25,馬匹登録!$L$8:$N$57,3,FALSE),"")</f>
        <v/>
      </c>
      <c r="W25" s="212" t="str">
        <f>IF($V25&lt;&gt;"",IF(VLOOKUP($V25,馬匹登録!$N$8:$O$57,2,FALSE)&lt;&gt;"",1,0),"")</f>
        <v/>
      </c>
      <c r="X25" s="212" t="str">
        <f>IF($V25&lt;&gt;"",IF(VLOOKUP($V25,馬匹登録!$N$8:$Q$57,3,FALSE)&lt;&gt;"",1,0),"")</f>
        <v/>
      </c>
      <c r="Y25" s="212" t="str">
        <f>IF($V25&lt;&gt;"",IF(VLOOKUP($V25,馬匹登録!$N$8:$Q$57,4,FALSE)&lt;&gt;"",1,0),"")</f>
        <v/>
      </c>
      <c r="Z25" s="212" t="str">
        <f>IF($G25&lt;&gt;"",VLOOKUP($G25,リスト!$J$2:$K$5,2,FALSE),"")</f>
        <v/>
      </c>
      <c r="AA25" s="212" t="str">
        <f>IF($E25&lt;&gt;"",IFERROR(VLOOKUP($N25,マスタ!$H$4:$R$51,7+VLOOKUP($G25,リスト!$J$2:$K$5,2,FALSE),FALSE),"-"),"")</f>
        <v/>
      </c>
      <c r="AB25" s="212" t="str">
        <f t="shared" si="5"/>
        <v/>
      </c>
      <c r="AC25" s="212">
        <f>IF($AC$6=1,IFERROR(IF(AND($N25&lt;&gt;"",$R25&lt;&gt;""),IF(VLOOKUP($N25,マスタ!$T$4:$AC$51,4+$S25,FALSE)=0,1,0),0),1),0)</f>
        <v>0</v>
      </c>
      <c r="AD25" s="212">
        <f t="shared" si="6"/>
        <v>0</v>
      </c>
      <c r="AE25" s="212">
        <f>IF($AE$6=1,IFERROR(IF($G25="社馬連",IF(IFERROR(VLOOKUP($F25,リスト!$F$10:$H$51,2,FALSE),2)&lt;&gt;0,1,0),0),1),0)</f>
        <v>0</v>
      </c>
      <c r="AF25" s="212">
        <f t="shared" si="7"/>
        <v>0</v>
      </c>
      <c r="AG25" s="212">
        <f t="shared" si="8"/>
        <v>0</v>
      </c>
      <c r="AH25" s="212">
        <f t="shared" si="9"/>
        <v>0</v>
      </c>
      <c r="AI25" s="212">
        <f t="shared" si="10"/>
        <v>0</v>
      </c>
      <c r="AJ25" s="212">
        <f t="shared" si="11"/>
        <v>0</v>
      </c>
      <c r="AK25" s="212" t="str">
        <f t="shared" si="12"/>
        <v/>
      </c>
      <c r="AL25" s="212">
        <f t="shared" si="13"/>
        <v>0</v>
      </c>
      <c r="AM25" s="212" t="str">
        <f>IFERROR(VLOOKUP($N25,マスタ!$T$4:$AE$51,12,TRUE),"")</f>
        <v/>
      </c>
      <c r="AO25" s="212" t="str">
        <f t="shared" ca="1" si="14"/>
        <v/>
      </c>
      <c r="AP25" s="212" t="str">
        <f t="shared" ca="1" si="15"/>
        <v/>
      </c>
      <c r="AQ25" s="212" t="str">
        <f t="shared" ca="1" si="16"/>
        <v/>
      </c>
      <c r="AR25" s="212" t="str">
        <f t="shared" ca="1" si="0"/>
        <v/>
      </c>
      <c r="AS25" s="212" t="str">
        <f t="shared" ca="1" si="17"/>
        <v/>
      </c>
      <c r="AT25" s="212" t="str">
        <f t="shared" ca="1" si="18"/>
        <v/>
      </c>
      <c r="AU25" s="212" t="str">
        <f t="shared" ca="1" si="19"/>
        <v/>
      </c>
      <c r="AV25" s="212" t="str">
        <f t="shared" ca="1" si="20"/>
        <v/>
      </c>
      <c r="AX25" s="212">
        <f t="shared" si="21"/>
        <v>0</v>
      </c>
      <c r="AY25" s="212">
        <f t="shared" si="22"/>
        <v>18</v>
      </c>
      <c r="AZ25" s="212" t="str">
        <f t="shared" ca="1" si="23"/>
        <v/>
      </c>
      <c r="BA25" s="212" t="str">
        <f t="shared" si="1"/>
        <v/>
      </c>
      <c r="BB25" s="212" t="str">
        <f t="shared" si="24"/>
        <v/>
      </c>
      <c r="BC25" s="212" t="str">
        <f t="shared" ca="1" si="2"/>
        <v/>
      </c>
    </row>
    <row r="26" spans="1:55" ht="24" customHeight="1" x14ac:dyDescent="0.15">
      <c r="A26" s="234">
        <v>19</v>
      </c>
      <c r="B26" s="235" t="str">
        <f>IF($C26&lt;&gt;"",VLOOKUP($N26,マスタ!$H$4:$K$51,3,TRUE),"")</f>
        <v/>
      </c>
      <c r="C26" s="236"/>
      <c r="D26" s="236"/>
      <c r="E26" s="236"/>
      <c r="F26" s="237" t="str">
        <f>IF($R26&lt;&gt;"",IF(VLOOKUP($R26,選手登録!$A$8:$H$57,8,FALSE)&lt;&gt;"",VLOOKUP($R26,選手登録!$A$8:$H$57,8,FALSE),団体登録!$B$7),"")</f>
        <v/>
      </c>
      <c r="G26" s="238"/>
      <c r="H26" s="333" t="str">
        <f t="shared" si="3"/>
        <v/>
      </c>
      <c r="I26" s="239"/>
      <c r="J26" s="233" t="str">
        <f>IF($AC26&gt;0,リスト!$Y$22,IF($AD26=1,リスト!$Y$21,IF($AD26=2,リスト!$Y$23,IF($AE26&gt;0,リスト!$Y$18,IF($AF26&gt;0,リスト!$Y$19,IF($AG26&gt;0,リスト!$Y$20,IF($AH26&gt;0,リスト!$Y$24,IF($AI26&gt;0,リスト!$Y$25,IF($AJ26&gt;0,リスト!$Y$26,"")))))))))</f>
        <v/>
      </c>
      <c r="K26" s="211" t="s">
        <v>149</v>
      </c>
      <c r="M26" s="212">
        <f t="shared" si="4"/>
        <v>19</v>
      </c>
      <c r="N26" s="212" t="str">
        <f>IF($C26&lt;&gt;"",VLOOKUP($C26,マスタ!$L$4:$U$51,9,FALSE),"")</f>
        <v/>
      </c>
      <c r="O26" s="212" t="str">
        <f>IF($C26&lt;&gt;"",VLOOKUP($N26,マスタ!$H$4:$I$51,2,TRUE),"")</f>
        <v/>
      </c>
      <c r="P26" s="212" t="str">
        <f>IF($N26&lt;&gt;"",VLOOKUP($N26,マスタ!$T$4:$W$51,3,FALSE),"")</f>
        <v/>
      </c>
      <c r="Q26" s="212" t="str">
        <f>IF($N26&lt;&gt;"",VLOOKUP($N26,マスタ!$T$4:$W$51,4,FALSE),"")</f>
        <v/>
      </c>
      <c r="R26" s="212" t="str">
        <f>IF($D26&lt;&gt;"",VLOOKUP($D26,選手登録!$N$8:$P$57,3,FALSE),"")</f>
        <v/>
      </c>
      <c r="S26" s="212" t="str">
        <f>IF($R26&lt;&gt;"",VLOOKUP($R26,選手登録!$M$8:$V$57,6,FALSE),"")</f>
        <v/>
      </c>
      <c r="T26" s="212" t="str">
        <f>IF($R26&lt;&gt;"",VLOOKUP($R26,選手登録!$M$8:$V$57,7,FALSE),"")</f>
        <v/>
      </c>
      <c r="U26" s="212" t="str">
        <f>IF($R26&lt;&gt;"",IF(VLOOKUP($R26,選手登録!$M$8:$U$57,9,FALSE)&lt;&gt;"",1,0),"")</f>
        <v/>
      </c>
      <c r="V26" s="212" t="str">
        <f>IF($E26&lt;&gt;"",VLOOKUP($E26,馬匹登録!$L$8:$N$57,3,FALSE),"")</f>
        <v/>
      </c>
      <c r="W26" s="212" t="str">
        <f>IF($V26&lt;&gt;"",IF(VLOOKUP($V26,馬匹登録!$N$8:$O$57,2,FALSE)&lt;&gt;"",1,0),"")</f>
        <v/>
      </c>
      <c r="X26" s="212" t="str">
        <f>IF($V26&lt;&gt;"",IF(VLOOKUP($V26,馬匹登録!$N$8:$Q$57,3,FALSE)&lt;&gt;"",1,0),"")</f>
        <v/>
      </c>
      <c r="Y26" s="212" t="str">
        <f>IF($V26&lt;&gt;"",IF(VLOOKUP($V26,馬匹登録!$N$8:$Q$57,4,FALSE)&lt;&gt;"",1,0),"")</f>
        <v/>
      </c>
      <c r="Z26" s="212" t="str">
        <f>IF($G26&lt;&gt;"",VLOOKUP($G26,リスト!$J$2:$K$5,2,FALSE),"")</f>
        <v/>
      </c>
      <c r="AA26" s="212" t="str">
        <f>IF($E26&lt;&gt;"",IFERROR(VLOOKUP($N26,マスタ!$H$4:$R$51,7+VLOOKUP($G26,リスト!$J$2:$K$5,2,FALSE),FALSE),"-"),"")</f>
        <v/>
      </c>
      <c r="AB26" s="212" t="str">
        <f t="shared" si="5"/>
        <v/>
      </c>
      <c r="AC26" s="212">
        <f>IF($AC$6=1,IFERROR(IF(AND($N26&lt;&gt;"",$R26&lt;&gt;""),IF(VLOOKUP($N26,マスタ!$T$4:$AC$51,4+$S26,FALSE)=0,1,0),0),1),0)</f>
        <v>0</v>
      </c>
      <c r="AD26" s="212">
        <f t="shared" si="6"/>
        <v>0</v>
      </c>
      <c r="AE26" s="212">
        <f>IF($AE$6=1,IFERROR(IF($G26="社馬連",IF(IFERROR(VLOOKUP($F26,リスト!$F$10:$H$51,2,FALSE),2)&lt;&gt;0,1,0),0),1),0)</f>
        <v>0</v>
      </c>
      <c r="AF26" s="212">
        <f t="shared" si="7"/>
        <v>0</v>
      </c>
      <c r="AG26" s="212">
        <f t="shared" si="8"/>
        <v>0</v>
      </c>
      <c r="AH26" s="212">
        <f t="shared" si="9"/>
        <v>0</v>
      </c>
      <c r="AI26" s="212">
        <f t="shared" si="10"/>
        <v>0</v>
      </c>
      <c r="AJ26" s="212">
        <f t="shared" si="11"/>
        <v>0</v>
      </c>
      <c r="AK26" s="212" t="str">
        <f t="shared" si="12"/>
        <v/>
      </c>
      <c r="AL26" s="212">
        <f t="shared" si="13"/>
        <v>0</v>
      </c>
      <c r="AM26" s="212" t="str">
        <f>IFERROR(VLOOKUP($N26,マスタ!$T$4:$AE$51,12,TRUE),"")</f>
        <v/>
      </c>
      <c r="AO26" s="212" t="str">
        <f t="shared" ca="1" si="14"/>
        <v/>
      </c>
      <c r="AP26" s="212" t="str">
        <f t="shared" ca="1" si="15"/>
        <v/>
      </c>
      <c r="AQ26" s="212" t="str">
        <f t="shared" ca="1" si="16"/>
        <v/>
      </c>
      <c r="AR26" s="212" t="str">
        <f t="shared" ca="1" si="0"/>
        <v/>
      </c>
      <c r="AS26" s="212" t="str">
        <f t="shared" ca="1" si="17"/>
        <v/>
      </c>
      <c r="AT26" s="212" t="str">
        <f t="shared" ca="1" si="18"/>
        <v/>
      </c>
      <c r="AU26" s="212" t="str">
        <f t="shared" ca="1" si="19"/>
        <v/>
      </c>
      <c r="AV26" s="212" t="str">
        <f t="shared" ca="1" si="20"/>
        <v/>
      </c>
      <c r="AX26" s="212">
        <f t="shared" si="21"/>
        <v>0</v>
      </c>
      <c r="AY26" s="212">
        <f t="shared" si="22"/>
        <v>19</v>
      </c>
      <c r="AZ26" s="212" t="str">
        <f t="shared" ca="1" si="23"/>
        <v/>
      </c>
      <c r="BA26" s="212" t="str">
        <f t="shared" si="1"/>
        <v/>
      </c>
      <c r="BB26" s="212" t="str">
        <f t="shared" si="24"/>
        <v/>
      </c>
      <c r="BC26" s="212" t="str">
        <f t="shared" ca="1" si="2"/>
        <v/>
      </c>
    </row>
    <row r="27" spans="1:55" ht="24" customHeight="1" x14ac:dyDescent="0.15">
      <c r="A27" s="234">
        <v>20</v>
      </c>
      <c r="B27" s="235" t="str">
        <f>IF($C27&lt;&gt;"",VLOOKUP($N27,マスタ!$H$4:$K$51,3,TRUE),"")</f>
        <v/>
      </c>
      <c r="C27" s="236"/>
      <c r="D27" s="236"/>
      <c r="E27" s="236"/>
      <c r="F27" s="237" t="str">
        <f>IF($R27&lt;&gt;"",IF(VLOOKUP($R27,選手登録!$A$8:$H$57,8,FALSE)&lt;&gt;"",VLOOKUP($R27,選手登録!$A$8:$H$57,8,FALSE),団体登録!$B$7),"")</f>
        <v/>
      </c>
      <c r="G27" s="238"/>
      <c r="H27" s="333" t="str">
        <f t="shared" si="3"/>
        <v/>
      </c>
      <c r="I27" s="239"/>
      <c r="J27" s="233" t="str">
        <f>IF($AC27&gt;0,リスト!$Y$22,IF($AD27=1,リスト!$Y$21,IF($AD27=2,リスト!$Y$23,IF($AE27&gt;0,リスト!$Y$18,IF($AF27&gt;0,リスト!$Y$19,IF($AG27&gt;0,リスト!$Y$20,IF($AH27&gt;0,リスト!$Y$24,IF($AI27&gt;0,リスト!$Y$25,IF($AJ27&gt;0,リスト!$Y$26,"")))))))))</f>
        <v/>
      </c>
      <c r="K27" s="211" t="s">
        <v>149</v>
      </c>
      <c r="M27" s="212">
        <f t="shared" si="4"/>
        <v>20</v>
      </c>
      <c r="N27" s="212" t="str">
        <f>IF($C27&lt;&gt;"",VLOOKUP($C27,マスタ!$L$4:$U$51,9,FALSE),"")</f>
        <v/>
      </c>
      <c r="O27" s="212" t="str">
        <f>IF($C27&lt;&gt;"",VLOOKUP($N27,マスタ!$H$4:$I$51,2,TRUE),"")</f>
        <v/>
      </c>
      <c r="P27" s="212" t="str">
        <f>IF($N27&lt;&gt;"",VLOOKUP($N27,マスタ!$T$4:$W$51,3,FALSE),"")</f>
        <v/>
      </c>
      <c r="Q27" s="212" t="str">
        <f>IF($N27&lt;&gt;"",VLOOKUP($N27,マスタ!$T$4:$W$51,4,FALSE),"")</f>
        <v/>
      </c>
      <c r="R27" s="212" t="str">
        <f>IF($D27&lt;&gt;"",VLOOKUP($D27,選手登録!$N$8:$P$57,3,FALSE),"")</f>
        <v/>
      </c>
      <c r="S27" s="212" t="str">
        <f>IF($R27&lt;&gt;"",VLOOKUP($R27,選手登録!$M$8:$V$57,6,FALSE),"")</f>
        <v/>
      </c>
      <c r="T27" s="212" t="str">
        <f>IF($R27&lt;&gt;"",VLOOKUP($R27,選手登録!$M$8:$V$57,7,FALSE),"")</f>
        <v/>
      </c>
      <c r="U27" s="212" t="str">
        <f>IF($R27&lt;&gt;"",IF(VLOOKUP($R27,選手登録!$M$8:$U$57,9,FALSE)&lt;&gt;"",1,0),"")</f>
        <v/>
      </c>
      <c r="V27" s="212" t="str">
        <f>IF($E27&lt;&gt;"",VLOOKUP($E27,馬匹登録!$L$8:$N$57,3,FALSE),"")</f>
        <v/>
      </c>
      <c r="W27" s="212" t="str">
        <f>IF($V27&lt;&gt;"",IF(VLOOKUP($V27,馬匹登録!$N$8:$O$57,2,FALSE)&lt;&gt;"",1,0),"")</f>
        <v/>
      </c>
      <c r="X27" s="212" t="str">
        <f>IF($V27&lt;&gt;"",IF(VLOOKUP($V27,馬匹登録!$N$8:$Q$57,3,FALSE)&lt;&gt;"",1,0),"")</f>
        <v/>
      </c>
      <c r="Y27" s="212" t="str">
        <f>IF($V27&lt;&gt;"",IF(VLOOKUP($V27,馬匹登録!$N$8:$Q$57,4,FALSE)&lt;&gt;"",1,0),"")</f>
        <v/>
      </c>
      <c r="Z27" s="212" t="str">
        <f>IF($G27&lt;&gt;"",VLOOKUP($G27,リスト!$J$2:$K$5,2,FALSE),"")</f>
        <v/>
      </c>
      <c r="AA27" s="212" t="str">
        <f>IF($E27&lt;&gt;"",IFERROR(VLOOKUP($N27,マスタ!$H$4:$R$51,7+VLOOKUP($G27,リスト!$J$2:$K$5,2,FALSE),FALSE),"-"),"")</f>
        <v/>
      </c>
      <c r="AB27" s="212" t="str">
        <f t="shared" si="5"/>
        <v/>
      </c>
      <c r="AC27" s="212">
        <f>IF($AC$6=1,IFERROR(IF(AND($N27&lt;&gt;"",$R27&lt;&gt;""),IF(VLOOKUP($N27,マスタ!$T$4:$AC$51,4+$S27,FALSE)=0,1,0),0),1),0)</f>
        <v>0</v>
      </c>
      <c r="AD27" s="212">
        <f t="shared" si="6"/>
        <v>0</v>
      </c>
      <c r="AE27" s="212">
        <f>IF($AE$6=1,IFERROR(IF($G27="社馬連",IF(IFERROR(VLOOKUP($F27,リスト!$F$10:$H$51,2,FALSE),2)&lt;&gt;0,1,0),0),1),0)</f>
        <v>0</v>
      </c>
      <c r="AF27" s="212">
        <f t="shared" si="7"/>
        <v>0</v>
      </c>
      <c r="AG27" s="212">
        <f t="shared" si="8"/>
        <v>0</v>
      </c>
      <c r="AH27" s="212">
        <f t="shared" si="9"/>
        <v>0</v>
      </c>
      <c r="AI27" s="212">
        <f t="shared" si="10"/>
        <v>0</v>
      </c>
      <c r="AJ27" s="212">
        <f t="shared" si="11"/>
        <v>0</v>
      </c>
      <c r="AK27" s="212" t="str">
        <f t="shared" si="12"/>
        <v/>
      </c>
      <c r="AL27" s="212">
        <f t="shared" si="13"/>
        <v>0</v>
      </c>
      <c r="AM27" s="212" t="str">
        <f>IFERROR(VLOOKUP($N27,マスタ!$T$4:$AE$51,12,TRUE),"")</f>
        <v/>
      </c>
      <c r="AO27" s="212" t="str">
        <f t="shared" ca="1" si="14"/>
        <v/>
      </c>
      <c r="AP27" s="212" t="str">
        <f t="shared" ca="1" si="15"/>
        <v/>
      </c>
      <c r="AQ27" s="212" t="str">
        <f t="shared" ca="1" si="16"/>
        <v/>
      </c>
      <c r="AR27" s="212" t="str">
        <f t="shared" ca="1" si="0"/>
        <v/>
      </c>
      <c r="AS27" s="212" t="str">
        <f t="shared" ca="1" si="17"/>
        <v/>
      </c>
      <c r="AT27" s="212" t="str">
        <f t="shared" ca="1" si="18"/>
        <v/>
      </c>
      <c r="AU27" s="212" t="str">
        <f t="shared" ca="1" si="19"/>
        <v/>
      </c>
      <c r="AV27" s="212" t="str">
        <f t="shared" ca="1" si="20"/>
        <v/>
      </c>
      <c r="AX27" s="212">
        <f t="shared" si="21"/>
        <v>0</v>
      </c>
      <c r="AY27" s="212">
        <f t="shared" si="22"/>
        <v>20</v>
      </c>
      <c r="AZ27" s="212" t="str">
        <f t="shared" ca="1" si="23"/>
        <v/>
      </c>
      <c r="BA27" s="212" t="str">
        <f t="shared" si="1"/>
        <v/>
      </c>
      <c r="BB27" s="212" t="str">
        <f t="shared" si="24"/>
        <v/>
      </c>
      <c r="BC27" s="212" t="str">
        <f t="shared" ca="1" si="2"/>
        <v/>
      </c>
    </row>
    <row r="28" spans="1:55" ht="24" customHeight="1" x14ac:dyDescent="0.15">
      <c r="A28" s="234">
        <v>21</v>
      </c>
      <c r="B28" s="235" t="str">
        <f>IF($C28&lt;&gt;"",VLOOKUP($N28,マスタ!$H$4:$K$51,3,TRUE),"")</f>
        <v/>
      </c>
      <c r="C28" s="236"/>
      <c r="D28" s="236"/>
      <c r="E28" s="236"/>
      <c r="F28" s="237" t="str">
        <f>IF($R28&lt;&gt;"",IF(VLOOKUP($R28,選手登録!$A$8:$H$57,8,FALSE)&lt;&gt;"",VLOOKUP($R28,選手登録!$A$8:$H$57,8,FALSE),団体登録!$B$7),"")</f>
        <v/>
      </c>
      <c r="G28" s="238"/>
      <c r="H28" s="333" t="str">
        <f t="shared" si="3"/>
        <v/>
      </c>
      <c r="I28" s="239"/>
      <c r="J28" s="233" t="str">
        <f>IF($AC28&gt;0,リスト!$Y$22,IF($AD28=1,リスト!$Y$21,IF($AD28=2,リスト!$Y$23,IF($AE28&gt;0,リスト!$Y$18,IF($AF28&gt;0,リスト!$Y$19,IF($AG28&gt;0,リスト!$Y$20,IF($AH28&gt;0,リスト!$Y$24,IF($AI28&gt;0,リスト!$Y$25,IF($AJ28&gt;0,リスト!$Y$26,"")))))))))</f>
        <v/>
      </c>
      <c r="K28" s="211" t="s">
        <v>149</v>
      </c>
      <c r="M28" s="212">
        <f t="shared" si="4"/>
        <v>21</v>
      </c>
      <c r="N28" s="212" t="str">
        <f>IF($C28&lt;&gt;"",VLOOKUP($C28,マスタ!$L$4:$U$51,9,FALSE),"")</f>
        <v/>
      </c>
      <c r="O28" s="212" t="str">
        <f>IF($C28&lt;&gt;"",VLOOKUP($N28,マスタ!$H$4:$I$51,2,TRUE),"")</f>
        <v/>
      </c>
      <c r="P28" s="212" t="str">
        <f>IF($N28&lt;&gt;"",VLOOKUP($N28,マスタ!$T$4:$W$51,3,FALSE),"")</f>
        <v/>
      </c>
      <c r="Q28" s="212" t="str">
        <f>IF($N28&lt;&gt;"",VLOOKUP($N28,マスタ!$T$4:$W$51,4,FALSE),"")</f>
        <v/>
      </c>
      <c r="R28" s="212" t="str">
        <f>IF($D28&lt;&gt;"",VLOOKUP($D28,選手登録!$N$8:$P$57,3,FALSE),"")</f>
        <v/>
      </c>
      <c r="S28" s="212" t="str">
        <f>IF($R28&lt;&gt;"",VLOOKUP($R28,選手登録!$M$8:$V$57,6,FALSE),"")</f>
        <v/>
      </c>
      <c r="T28" s="212" t="str">
        <f>IF($R28&lt;&gt;"",VLOOKUP($R28,選手登録!$M$8:$V$57,7,FALSE),"")</f>
        <v/>
      </c>
      <c r="U28" s="212" t="str">
        <f>IF($R28&lt;&gt;"",IF(VLOOKUP($R28,選手登録!$M$8:$U$57,9,FALSE)&lt;&gt;"",1,0),"")</f>
        <v/>
      </c>
      <c r="V28" s="212" t="str">
        <f>IF($E28&lt;&gt;"",VLOOKUP($E28,馬匹登録!$L$8:$N$57,3,FALSE),"")</f>
        <v/>
      </c>
      <c r="W28" s="212" t="str">
        <f>IF($V28&lt;&gt;"",IF(VLOOKUP($V28,馬匹登録!$N$8:$O$57,2,FALSE)&lt;&gt;"",1,0),"")</f>
        <v/>
      </c>
      <c r="X28" s="212" t="str">
        <f>IF($V28&lt;&gt;"",IF(VLOOKUP($V28,馬匹登録!$N$8:$Q$57,3,FALSE)&lt;&gt;"",1,0),"")</f>
        <v/>
      </c>
      <c r="Y28" s="212" t="str">
        <f>IF($V28&lt;&gt;"",IF(VLOOKUP($V28,馬匹登録!$N$8:$Q$57,4,FALSE)&lt;&gt;"",1,0),"")</f>
        <v/>
      </c>
      <c r="Z28" s="212" t="str">
        <f>IF($G28&lt;&gt;"",VLOOKUP($G28,リスト!$J$2:$K$5,2,FALSE),"")</f>
        <v/>
      </c>
      <c r="AA28" s="212" t="str">
        <f>IF($E28&lt;&gt;"",IFERROR(VLOOKUP($N28,マスタ!$H$4:$R$51,7+VLOOKUP($G28,リスト!$J$2:$K$5,2,FALSE),FALSE),"-"),"")</f>
        <v/>
      </c>
      <c r="AB28" s="212" t="str">
        <f t="shared" si="5"/>
        <v/>
      </c>
      <c r="AC28" s="212">
        <f>IF($AC$6=1,IFERROR(IF(AND($N28&lt;&gt;"",$R28&lt;&gt;""),IF(VLOOKUP($N28,マスタ!$T$4:$AC$51,4+$S28,FALSE)=0,1,0),0),1),0)</f>
        <v>0</v>
      </c>
      <c r="AD28" s="212">
        <f t="shared" si="6"/>
        <v>0</v>
      </c>
      <c r="AE28" s="212">
        <f>IF($AE$6=1,IFERROR(IF($G28="社馬連",IF(IFERROR(VLOOKUP($F28,リスト!$F$10:$H$51,2,FALSE),2)&lt;&gt;0,1,0),0),1),0)</f>
        <v>0</v>
      </c>
      <c r="AF28" s="212">
        <f t="shared" si="7"/>
        <v>0</v>
      </c>
      <c r="AG28" s="212">
        <f t="shared" si="8"/>
        <v>0</v>
      </c>
      <c r="AH28" s="212">
        <f t="shared" si="9"/>
        <v>0</v>
      </c>
      <c r="AI28" s="212">
        <f t="shared" si="10"/>
        <v>0</v>
      </c>
      <c r="AJ28" s="212">
        <f t="shared" si="11"/>
        <v>0</v>
      </c>
      <c r="AK28" s="212" t="str">
        <f t="shared" si="12"/>
        <v/>
      </c>
      <c r="AL28" s="212">
        <f t="shared" si="13"/>
        <v>0</v>
      </c>
      <c r="AM28" s="212" t="str">
        <f>IFERROR(VLOOKUP($N28,マスタ!$T$4:$AE$51,12,TRUE),"")</f>
        <v/>
      </c>
      <c r="AO28" s="212" t="str">
        <f t="shared" ca="1" si="14"/>
        <v/>
      </c>
      <c r="AP28" s="212" t="str">
        <f t="shared" ca="1" si="15"/>
        <v/>
      </c>
      <c r="AQ28" s="212" t="str">
        <f t="shared" ca="1" si="16"/>
        <v/>
      </c>
      <c r="AR28" s="212" t="str">
        <f t="shared" ca="1" si="0"/>
        <v/>
      </c>
      <c r="AS28" s="212" t="str">
        <f t="shared" ca="1" si="17"/>
        <v/>
      </c>
      <c r="AT28" s="212" t="str">
        <f t="shared" ca="1" si="18"/>
        <v/>
      </c>
      <c r="AU28" s="212" t="str">
        <f t="shared" ca="1" si="19"/>
        <v/>
      </c>
      <c r="AV28" s="212" t="str">
        <f t="shared" ca="1" si="20"/>
        <v/>
      </c>
      <c r="AX28" s="212">
        <f t="shared" si="21"/>
        <v>0</v>
      </c>
      <c r="AY28" s="212">
        <f t="shared" si="22"/>
        <v>21</v>
      </c>
      <c r="AZ28" s="212" t="str">
        <f t="shared" ca="1" si="23"/>
        <v/>
      </c>
      <c r="BA28" s="212" t="str">
        <f t="shared" si="1"/>
        <v/>
      </c>
      <c r="BB28" s="212" t="str">
        <f t="shared" si="24"/>
        <v/>
      </c>
      <c r="BC28" s="212" t="str">
        <f t="shared" ca="1" si="2"/>
        <v/>
      </c>
    </row>
    <row r="29" spans="1:55" ht="24" customHeight="1" x14ac:dyDescent="0.15">
      <c r="A29" s="234">
        <v>22</v>
      </c>
      <c r="B29" s="235" t="str">
        <f>IF($C29&lt;&gt;"",VLOOKUP($N29,マスタ!$H$4:$K$51,3,TRUE),"")</f>
        <v/>
      </c>
      <c r="C29" s="236"/>
      <c r="D29" s="236"/>
      <c r="E29" s="236"/>
      <c r="F29" s="237" t="str">
        <f>IF($R29&lt;&gt;"",IF(VLOOKUP($R29,選手登録!$A$8:$H$57,8,FALSE)&lt;&gt;"",VLOOKUP($R29,選手登録!$A$8:$H$57,8,FALSE),団体登録!$B$7),"")</f>
        <v/>
      </c>
      <c r="G29" s="238"/>
      <c r="H29" s="333" t="str">
        <f t="shared" si="3"/>
        <v/>
      </c>
      <c r="I29" s="239"/>
      <c r="J29" s="233" t="str">
        <f>IF($AC29&gt;0,リスト!$Y$22,IF($AD29=1,リスト!$Y$21,IF($AD29=2,リスト!$Y$23,IF($AE29&gt;0,リスト!$Y$18,IF($AF29&gt;0,リスト!$Y$19,IF($AG29&gt;0,リスト!$Y$20,IF($AH29&gt;0,リスト!$Y$24,IF($AI29&gt;0,リスト!$Y$25,IF($AJ29&gt;0,リスト!$Y$26,"")))))))))</f>
        <v/>
      </c>
      <c r="K29" s="211" t="s">
        <v>149</v>
      </c>
      <c r="M29" s="212">
        <f t="shared" si="4"/>
        <v>22</v>
      </c>
      <c r="N29" s="212" t="str">
        <f>IF($C29&lt;&gt;"",VLOOKUP($C29,マスタ!$L$4:$U$51,9,FALSE),"")</f>
        <v/>
      </c>
      <c r="O29" s="212" t="str">
        <f>IF($C29&lt;&gt;"",VLOOKUP($N29,マスタ!$H$4:$I$51,2,TRUE),"")</f>
        <v/>
      </c>
      <c r="P29" s="212" t="str">
        <f>IF($N29&lt;&gt;"",VLOOKUP($N29,マスタ!$T$4:$W$51,3,FALSE),"")</f>
        <v/>
      </c>
      <c r="Q29" s="212" t="str">
        <f>IF($N29&lt;&gt;"",VLOOKUP($N29,マスタ!$T$4:$W$51,4,FALSE),"")</f>
        <v/>
      </c>
      <c r="R29" s="212" t="str">
        <f>IF($D29&lt;&gt;"",VLOOKUP($D29,選手登録!$N$8:$P$57,3,FALSE),"")</f>
        <v/>
      </c>
      <c r="S29" s="212" t="str">
        <f>IF($R29&lt;&gt;"",VLOOKUP($R29,選手登録!$M$8:$V$57,6,FALSE),"")</f>
        <v/>
      </c>
      <c r="T29" s="212" t="str">
        <f>IF($R29&lt;&gt;"",VLOOKUP($R29,選手登録!$M$8:$V$57,7,FALSE),"")</f>
        <v/>
      </c>
      <c r="U29" s="212" t="str">
        <f>IF($R29&lt;&gt;"",IF(VLOOKUP($R29,選手登録!$M$8:$U$57,9,FALSE)&lt;&gt;"",1,0),"")</f>
        <v/>
      </c>
      <c r="V29" s="212" t="str">
        <f>IF($E29&lt;&gt;"",VLOOKUP($E29,馬匹登録!$L$8:$N$57,3,FALSE),"")</f>
        <v/>
      </c>
      <c r="W29" s="212" t="str">
        <f>IF($V29&lt;&gt;"",IF(VLOOKUP($V29,馬匹登録!$N$8:$O$57,2,FALSE)&lt;&gt;"",1,0),"")</f>
        <v/>
      </c>
      <c r="X29" s="212" t="str">
        <f>IF($V29&lt;&gt;"",IF(VLOOKUP($V29,馬匹登録!$N$8:$Q$57,3,FALSE)&lt;&gt;"",1,0),"")</f>
        <v/>
      </c>
      <c r="Y29" s="212" t="str">
        <f>IF($V29&lt;&gt;"",IF(VLOOKUP($V29,馬匹登録!$N$8:$Q$57,4,FALSE)&lt;&gt;"",1,0),"")</f>
        <v/>
      </c>
      <c r="Z29" s="212" t="str">
        <f>IF($G29&lt;&gt;"",VLOOKUP($G29,リスト!$J$2:$K$5,2,FALSE),"")</f>
        <v/>
      </c>
      <c r="AA29" s="212" t="str">
        <f>IF($E29&lt;&gt;"",IFERROR(VLOOKUP($N29,マスタ!$H$4:$R$51,7+VLOOKUP($G29,リスト!$J$2:$K$5,2,FALSE),FALSE),"-"),"")</f>
        <v/>
      </c>
      <c r="AB29" s="212" t="str">
        <f t="shared" si="5"/>
        <v/>
      </c>
      <c r="AC29" s="212">
        <f>IF($AC$6=1,IFERROR(IF(AND($N29&lt;&gt;"",$R29&lt;&gt;""),IF(VLOOKUP($N29,マスタ!$T$4:$AC$51,4+$S29,FALSE)=0,1,0),0),1),0)</f>
        <v>0</v>
      </c>
      <c r="AD29" s="212">
        <f t="shared" si="6"/>
        <v>0</v>
      </c>
      <c r="AE29" s="212">
        <f>IF($AE$6=1,IFERROR(IF($G29="社馬連",IF(IFERROR(VLOOKUP($F29,リスト!$F$10:$H$51,2,FALSE),2)&lt;&gt;0,1,0),0),1),0)</f>
        <v>0</v>
      </c>
      <c r="AF29" s="212">
        <f t="shared" si="7"/>
        <v>0</v>
      </c>
      <c r="AG29" s="212">
        <f t="shared" si="8"/>
        <v>0</v>
      </c>
      <c r="AH29" s="212">
        <f t="shared" si="9"/>
        <v>0</v>
      </c>
      <c r="AI29" s="212">
        <f t="shared" si="10"/>
        <v>0</v>
      </c>
      <c r="AJ29" s="212">
        <f t="shared" si="11"/>
        <v>0</v>
      </c>
      <c r="AK29" s="212" t="str">
        <f t="shared" si="12"/>
        <v/>
      </c>
      <c r="AL29" s="212">
        <f t="shared" si="13"/>
        <v>0</v>
      </c>
      <c r="AM29" s="212" t="str">
        <f>IFERROR(VLOOKUP($N29,マスタ!$T$4:$AE$51,12,TRUE),"")</f>
        <v/>
      </c>
      <c r="AO29" s="212" t="str">
        <f t="shared" ca="1" si="14"/>
        <v/>
      </c>
      <c r="AP29" s="212" t="str">
        <f t="shared" ca="1" si="15"/>
        <v/>
      </c>
      <c r="AQ29" s="212" t="str">
        <f t="shared" ca="1" si="16"/>
        <v/>
      </c>
      <c r="AR29" s="212" t="str">
        <f t="shared" ca="1" si="0"/>
        <v/>
      </c>
      <c r="AS29" s="212" t="str">
        <f t="shared" ca="1" si="17"/>
        <v/>
      </c>
      <c r="AT29" s="212" t="str">
        <f t="shared" ca="1" si="18"/>
        <v/>
      </c>
      <c r="AU29" s="212" t="str">
        <f t="shared" ca="1" si="19"/>
        <v/>
      </c>
      <c r="AV29" s="212" t="str">
        <f t="shared" ca="1" si="20"/>
        <v/>
      </c>
      <c r="AX29" s="212">
        <f t="shared" si="21"/>
        <v>0</v>
      </c>
      <c r="AY29" s="212">
        <f t="shared" si="22"/>
        <v>22</v>
      </c>
      <c r="AZ29" s="212" t="str">
        <f t="shared" ca="1" si="23"/>
        <v/>
      </c>
      <c r="BA29" s="212" t="str">
        <f t="shared" si="1"/>
        <v/>
      </c>
      <c r="BB29" s="212" t="str">
        <f t="shared" si="24"/>
        <v/>
      </c>
      <c r="BC29" s="212" t="str">
        <f t="shared" ca="1" si="2"/>
        <v/>
      </c>
    </row>
    <row r="30" spans="1:55" ht="24" customHeight="1" x14ac:dyDescent="0.15">
      <c r="A30" s="234">
        <v>23</v>
      </c>
      <c r="B30" s="235" t="str">
        <f>IF($C30&lt;&gt;"",VLOOKUP($N30,マスタ!$H$4:$K$51,3,TRUE),"")</f>
        <v/>
      </c>
      <c r="C30" s="236"/>
      <c r="D30" s="236"/>
      <c r="E30" s="236"/>
      <c r="F30" s="237" t="str">
        <f>IF($R30&lt;&gt;"",IF(VLOOKUP($R30,選手登録!$A$8:$H$57,8,FALSE)&lt;&gt;"",VLOOKUP($R30,選手登録!$A$8:$H$57,8,FALSE),団体登録!$B$7),"")</f>
        <v/>
      </c>
      <c r="G30" s="238"/>
      <c r="H30" s="333" t="str">
        <f t="shared" si="3"/>
        <v/>
      </c>
      <c r="I30" s="239"/>
      <c r="J30" s="233" t="str">
        <f>IF($AC30&gt;0,リスト!$Y$22,IF($AD30=1,リスト!$Y$21,IF($AD30=2,リスト!$Y$23,IF($AE30&gt;0,リスト!$Y$18,IF($AF30&gt;0,リスト!$Y$19,IF($AG30&gt;0,リスト!$Y$20,IF($AH30&gt;0,リスト!$Y$24,IF($AI30&gt;0,リスト!$Y$25,IF($AJ30&gt;0,リスト!$Y$26,"")))))))))</f>
        <v/>
      </c>
      <c r="K30" s="211" t="s">
        <v>149</v>
      </c>
      <c r="M30" s="212">
        <f t="shared" si="4"/>
        <v>23</v>
      </c>
      <c r="N30" s="212" t="str">
        <f>IF($C30&lt;&gt;"",VLOOKUP($C30,マスタ!$L$4:$U$51,9,FALSE),"")</f>
        <v/>
      </c>
      <c r="O30" s="212" t="str">
        <f>IF($C30&lt;&gt;"",VLOOKUP($N30,マスタ!$H$4:$I$51,2,TRUE),"")</f>
        <v/>
      </c>
      <c r="P30" s="212" t="str">
        <f>IF($N30&lt;&gt;"",VLOOKUP($N30,マスタ!$T$4:$W$51,3,FALSE),"")</f>
        <v/>
      </c>
      <c r="Q30" s="212" t="str">
        <f>IF($N30&lt;&gt;"",VLOOKUP($N30,マスタ!$T$4:$W$51,4,FALSE),"")</f>
        <v/>
      </c>
      <c r="R30" s="212" t="str">
        <f>IF($D30&lt;&gt;"",VLOOKUP($D30,選手登録!$N$8:$P$57,3,FALSE),"")</f>
        <v/>
      </c>
      <c r="S30" s="212" t="str">
        <f>IF($R30&lt;&gt;"",VLOOKUP($R30,選手登録!$M$8:$V$57,6,FALSE),"")</f>
        <v/>
      </c>
      <c r="T30" s="212" t="str">
        <f>IF($R30&lt;&gt;"",VLOOKUP($R30,選手登録!$M$8:$V$57,7,FALSE),"")</f>
        <v/>
      </c>
      <c r="U30" s="212" t="str">
        <f>IF($R30&lt;&gt;"",IF(VLOOKUP($R30,選手登録!$M$8:$U$57,9,FALSE)&lt;&gt;"",1,0),"")</f>
        <v/>
      </c>
      <c r="V30" s="212" t="str">
        <f>IF($E30&lt;&gt;"",VLOOKUP($E30,馬匹登録!$L$8:$N$57,3,FALSE),"")</f>
        <v/>
      </c>
      <c r="W30" s="212" t="str">
        <f>IF($V30&lt;&gt;"",IF(VLOOKUP($V30,馬匹登録!$N$8:$O$57,2,FALSE)&lt;&gt;"",1,0),"")</f>
        <v/>
      </c>
      <c r="X30" s="212" t="str">
        <f>IF($V30&lt;&gt;"",IF(VLOOKUP($V30,馬匹登録!$N$8:$Q$57,3,FALSE)&lt;&gt;"",1,0),"")</f>
        <v/>
      </c>
      <c r="Y30" s="212" t="str">
        <f>IF($V30&lt;&gt;"",IF(VLOOKUP($V30,馬匹登録!$N$8:$Q$57,4,FALSE)&lt;&gt;"",1,0),"")</f>
        <v/>
      </c>
      <c r="Z30" s="212" t="str">
        <f>IF($G30&lt;&gt;"",VLOOKUP($G30,リスト!$J$2:$K$5,2,FALSE),"")</f>
        <v/>
      </c>
      <c r="AA30" s="212" t="str">
        <f>IF($E30&lt;&gt;"",IFERROR(VLOOKUP($N30,マスタ!$H$4:$R$51,7+VLOOKUP($G30,リスト!$J$2:$K$5,2,FALSE),FALSE),"-"),"")</f>
        <v/>
      </c>
      <c r="AB30" s="212" t="str">
        <f t="shared" si="5"/>
        <v/>
      </c>
      <c r="AC30" s="212">
        <f>IF($AC$6=1,IFERROR(IF(AND($N30&lt;&gt;"",$R30&lt;&gt;""),IF(VLOOKUP($N30,マスタ!$T$4:$AC$51,4+$S30,FALSE)=0,1,0),0),1),0)</f>
        <v>0</v>
      </c>
      <c r="AD30" s="212">
        <f t="shared" si="6"/>
        <v>0</v>
      </c>
      <c r="AE30" s="212">
        <f>IF($AE$6=1,IFERROR(IF($G30="社馬連",IF(IFERROR(VLOOKUP($F30,リスト!$F$10:$H$51,2,FALSE),2)&lt;&gt;0,1,0),0),1),0)</f>
        <v>0</v>
      </c>
      <c r="AF30" s="212">
        <f t="shared" si="7"/>
        <v>0</v>
      </c>
      <c r="AG30" s="212">
        <f t="shared" si="8"/>
        <v>0</v>
      </c>
      <c r="AH30" s="212">
        <f t="shared" si="9"/>
        <v>0</v>
      </c>
      <c r="AI30" s="212">
        <f t="shared" si="10"/>
        <v>0</v>
      </c>
      <c r="AJ30" s="212">
        <f t="shared" si="11"/>
        <v>0</v>
      </c>
      <c r="AK30" s="212" t="str">
        <f t="shared" si="12"/>
        <v/>
      </c>
      <c r="AL30" s="212">
        <f t="shared" si="13"/>
        <v>0</v>
      </c>
      <c r="AM30" s="212" t="str">
        <f>IFERROR(VLOOKUP($N30,マスタ!$T$4:$AE$51,12,TRUE),"")</f>
        <v/>
      </c>
      <c r="AO30" s="212" t="str">
        <f t="shared" ca="1" si="14"/>
        <v/>
      </c>
      <c r="AP30" s="212" t="str">
        <f t="shared" ca="1" si="15"/>
        <v/>
      </c>
      <c r="AQ30" s="212" t="str">
        <f t="shared" ca="1" si="16"/>
        <v/>
      </c>
      <c r="AR30" s="212" t="str">
        <f t="shared" ca="1" si="0"/>
        <v/>
      </c>
      <c r="AS30" s="212" t="str">
        <f t="shared" ca="1" si="17"/>
        <v/>
      </c>
      <c r="AT30" s="212" t="str">
        <f t="shared" ca="1" si="18"/>
        <v/>
      </c>
      <c r="AU30" s="212" t="str">
        <f t="shared" ca="1" si="19"/>
        <v/>
      </c>
      <c r="AV30" s="212" t="str">
        <f t="shared" ca="1" si="20"/>
        <v/>
      </c>
      <c r="AX30" s="212">
        <f t="shared" si="21"/>
        <v>0</v>
      </c>
      <c r="AY30" s="212">
        <f t="shared" si="22"/>
        <v>23</v>
      </c>
      <c r="AZ30" s="212" t="str">
        <f t="shared" ca="1" si="23"/>
        <v/>
      </c>
      <c r="BA30" s="212" t="str">
        <f t="shared" si="1"/>
        <v/>
      </c>
      <c r="BB30" s="212" t="str">
        <f t="shared" si="24"/>
        <v/>
      </c>
      <c r="BC30" s="212" t="str">
        <f t="shared" ca="1" si="2"/>
        <v/>
      </c>
    </row>
    <row r="31" spans="1:55" ht="24" customHeight="1" x14ac:dyDescent="0.15">
      <c r="A31" s="234">
        <v>24</v>
      </c>
      <c r="B31" s="235" t="str">
        <f>IF($C31&lt;&gt;"",VLOOKUP($N31,マスタ!$H$4:$K$51,3,TRUE),"")</f>
        <v/>
      </c>
      <c r="C31" s="236"/>
      <c r="D31" s="236"/>
      <c r="E31" s="236"/>
      <c r="F31" s="237" t="str">
        <f>IF($R31&lt;&gt;"",IF(VLOOKUP($R31,選手登録!$A$8:$H$57,8,FALSE)&lt;&gt;"",VLOOKUP($R31,選手登録!$A$8:$H$57,8,FALSE),団体登録!$B$7),"")</f>
        <v/>
      </c>
      <c r="G31" s="238"/>
      <c r="H31" s="333" t="str">
        <f t="shared" si="3"/>
        <v/>
      </c>
      <c r="I31" s="239"/>
      <c r="J31" s="233" t="str">
        <f>IF($AC31&gt;0,リスト!$Y$22,IF($AD31=1,リスト!$Y$21,IF($AD31=2,リスト!$Y$23,IF($AE31&gt;0,リスト!$Y$18,IF($AF31&gt;0,リスト!$Y$19,IF($AG31&gt;0,リスト!$Y$20,IF($AH31&gt;0,リスト!$Y$24,IF($AI31&gt;0,リスト!$Y$25,IF($AJ31&gt;0,リスト!$Y$26,"")))))))))</f>
        <v/>
      </c>
      <c r="K31" s="211" t="s">
        <v>149</v>
      </c>
      <c r="M31" s="212">
        <f t="shared" si="4"/>
        <v>24</v>
      </c>
      <c r="N31" s="212" t="str">
        <f>IF($C31&lt;&gt;"",VLOOKUP($C31,マスタ!$L$4:$U$51,9,FALSE),"")</f>
        <v/>
      </c>
      <c r="O31" s="212" t="str">
        <f>IF($C31&lt;&gt;"",VLOOKUP($N31,マスタ!$H$4:$I$51,2,TRUE),"")</f>
        <v/>
      </c>
      <c r="P31" s="212" t="str">
        <f>IF($N31&lt;&gt;"",VLOOKUP($N31,マスタ!$T$4:$W$51,3,FALSE),"")</f>
        <v/>
      </c>
      <c r="Q31" s="212" t="str">
        <f>IF($N31&lt;&gt;"",VLOOKUP($N31,マスタ!$T$4:$W$51,4,FALSE),"")</f>
        <v/>
      </c>
      <c r="R31" s="212" t="str">
        <f>IF($D31&lt;&gt;"",VLOOKUP($D31,選手登録!$N$8:$P$57,3,FALSE),"")</f>
        <v/>
      </c>
      <c r="S31" s="212" t="str">
        <f>IF($R31&lt;&gt;"",VLOOKUP($R31,選手登録!$M$8:$V$57,6,FALSE),"")</f>
        <v/>
      </c>
      <c r="T31" s="212" t="str">
        <f>IF($R31&lt;&gt;"",VLOOKUP($R31,選手登録!$M$8:$V$57,7,FALSE),"")</f>
        <v/>
      </c>
      <c r="U31" s="212" t="str">
        <f>IF($R31&lt;&gt;"",IF(VLOOKUP($R31,選手登録!$M$8:$U$57,9,FALSE)&lt;&gt;"",1,0),"")</f>
        <v/>
      </c>
      <c r="V31" s="212" t="str">
        <f>IF($E31&lt;&gt;"",VLOOKUP($E31,馬匹登録!$L$8:$N$57,3,FALSE),"")</f>
        <v/>
      </c>
      <c r="W31" s="212" t="str">
        <f>IF($V31&lt;&gt;"",IF(VLOOKUP($V31,馬匹登録!$N$8:$O$57,2,FALSE)&lt;&gt;"",1,0),"")</f>
        <v/>
      </c>
      <c r="X31" s="212" t="str">
        <f>IF($V31&lt;&gt;"",IF(VLOOKUP($V31,馬匹登録!$N$8:$Q$57,3,FALSE)&lt;&gt;"",1,0),"")</f>
        <v/>
      </c>
      <c r="Y31" s="212" t="str">
        <f>IF($V31&lt;&gt;"",IF(VLOOKUP($V31,馬匹登録!$N$8:$Q$57,4,FALSE)&lt;&gt;"",1,0),"")</f>
        <v/>
      </c>
      <c r="Z31" s="212" t="str">
        <f>IF($G31&lt;&gt;"",VLOOKUP($G31,リスト!$J$2:$K$5,2,FALSE),"")</f>
        <v/>
      </c>
      <c r="AA31" s="212" t="str">
        <f>IF($E31&lt;&gt;"",IFERROR(VLOOKUP($N31,マスタ!$H$4:$R$51,7+VLOOKUP($G31,リスト!$J$2:$K$5,2,FALSE),FALSE),"-"),"")</f>
        <v/>
      </c>
      <c r="AB31" s="212" t="str">
        <f t="shared" si="5"/>
        <v/>
      </c>
      <c r="AC31" s="212">
        <f>IF($AC$6=1,IFERROR(IF(AND($N31&lt;&gt;"",$R31&lt;&gt;""),IF(VLOOKUP($N31,マスタ!$T$4:$AC$51,4+$S31,FALSE)=0,1,0),0),1),0)</f>
        <v>0</v>
      </c>
      <c r="AD31" s="212">
        <f t="shared" si="6"/>
        <v>0</v>
      </c>
      <c r="AE31" s="212">
        <f>IF($AE$6=1,IFERROR(IF($G31="社馬連",IF(IFERROR(VLOOKUP($F31,リスト!$F$10:$H$51,2,FALSE),2)&lt;&gt;0,1,0),0),1),0)</f>
        <v>0</v>
      </c>
      <c r="AF31" s="212">
        <f t="shared" si="7"/>
        <v>0</v>
      </c>
      <c r="AG31" s="212">
        <f t="shared" si="8"/>
        <v>0</v>
      </c>
      <c r="AH31" s="212">
        <f t="shared" si="9"/>
        <v>0</v>
      </c>
      <c r="AI31" s="212">
        <f t="shared" si="10"/>
        <v>0</v>
      </c>
      <c r="AJ31" s="212">
        <f t="shared" si="11"/>
        <v>0</v>
      </c>
      <c r="AK31" s="212" t="str">
        <f t="shared" si="12"/>
        <v/>
      </c>
      <c r="AL31" s="212">
        <f t="shared" si="13"/>
        <v>0</v>
      </c>
      <c r="AM31" s="212" t="str">
        <f>IFERROR(VLOOKUP($N31,マスタ!$T$4:$AE$51,12,TRUE),"")</f>
        <v/>
      </c>
      <c r="AO31" s="212" t="str">
        <f t="shared" ca="1" si="14"/>
        <v/>
      </c>
      <c r="AP31" s="212" t="str">
        <f t="shared" ca="1" si="15"/>
        <v/>
      </c>
      <c r="AQ31" s="212" t="str">
        <f t="shared" ca="1" si="16"/>
        <v/>
      </c>
      <c r="AR31" s="212" t="str">
        <f t="shared" ca="1" si="0"/>
        <v/>
      </c>
      <c r="AS31" s="212" t="str">
        <f t="shared" ca="1" si="17"/>
        <v/>
      </c>
      <c r="AT31" s="212" t="str">
        <f t="shared" ca="1" si="18"/>
        <v/>
      </c>
      <c r="AU31" s="212" t="str">
        <f t="shared" ca="1" si="19"/>
        <v/>
      </c>
      <c r="AV31" s="212" t="str">
        <f t="shared" ca="1" si="20"/>
        <v/>
      </c>
      <c r="AX31" s="212">
        <f t="shared" si="21"/>
        <v>0</v>
      </c>
      <c r="AY31" s="212">
        <f t="shared" si="22"/>
        <v>24</v>
      </c>
      <c r="AZ31" s="212" t="str">
        <f t="shared" ca="1" si="23"/>
        <v/>
      </c>
      <c r="BA31" s="212" t="str">
        <f t="shared" si="1"/>
        <v/>
      </c>
      <c r="BB31" s="212" t="str">
        <f t="shared" si="24"/>
        <v/>
      </c>
      <c r="BC31" s="212" t="str">
        <f t="shared" ca="1" si="2"/>
        <v/>
      </c>
    </row>
    <row r="32" spans="1:55" ht="24" customHeight="1" x14ac:dyDescent="0.15">
      <c r="A32" s="234">
        <v>25</v>
      </c>
      <c r="B32" s="235" t="str">
        <f>IF($C32&lt;&gt;"",VLOOKUP($N32,マスタ!$H$4:$K$51,3,TRUE),"")</f>
        <v/>
      </c>
      <c r="C32" s="236"/>
      <c r="D32" s="236"/>
      <c r="E32" s="236"/>
      <c r="F32" s="237" t="str">
        <f>IF($R32&lt;&gt;"",IF(VLOOKUP($R32,選手登録!$A$8:$H$57,8,FALSE)&lt;&gt;"",VLOOKUP($R32,選手登録!$A$8:$H$57,8,FALSE),団体登録!$B$7),"")</f>
        <v/>
      </c>
      <c r="G32" s="238"/>
      <c r="H32" s="333" t="str">
        <f t="shared" si="3"/>
        <v/>
      </c>
      <c r="I32" s="239"/>
      <c r="J32" s="233" t="str">
        <f>IF($AC32&gt;0,リスト!$Y$22,IF($AD32=1,リスト!$Y$21,IF($AD32=2,リスト!$Y$23,IF($AE32&gt;0,リスト!$Y$18,IF($AF32&gt;0,リスト!$Y$19,IF($AG32&gt;0,リスト!$Y$20,IF($AH32&gt;0,リスト!$Y$24,IF($AI32&gt;0,リスト!$Y$25,IF($AJ32&gt;0,リスト!$Y$26,"")))))))))</f>
        <v/>
      </c>
      <c r="K32" s="211" t="s">
        <v>149</v>
      </c>
      <c r="M32" s="212">
        <f t="shared" si="4"/>
        <v>25</v>
      </c>
      <c r="N32" s="212" t="str">
        <f>IF($C32&lt;&gt;"",VLOOKUP($C32,マスタ!$L$4:$U$51,9,FALSE),"")</f>
        <v/>
      </c>
      <c r="O32" s="212" t="str">
        <f>IF($C32&lt;&gt;"",VLOOKUP($N32,マスタ!$H$4:$I$51,2,TRUE),"")</f>
        <v/>
      </c>
      <c r="P32" s="212" t="str">
        <f>IF($N32&lt;&gt;"",VLOOKUP($N32,マスタ!$T$4:$W$51,3,FALSE),"")</f>
        <v/>
      </c>
      <c r="Q32" s="212" t="str">
        <f>IF($N32&lt;&gt;"",VLOOKUP($N32,マスタ!$T$4:$W$51,4,FALSE),"")</f>
        <v/>
      </c>
      <c r="R32" s="212" t="str">
        <f>IF($D32&lt;&gt;"",VLOOKUP($D32,選手登録!$N$8:$P$57,3,FALSE),"")</f>
        <v/>
      </c>
      <c r="S32" s="212" t="str">
        <f>IF($R32&lt;&gt;"",VLOOKUP($R32,選手登録!$M$8:$V$57,6,FALSE),"")</f>
        <v/>
      </c>
      <c r="T32" s="212" t="str">
        <f>IF($R32&lt;&gt;"",VLOOKUP($R32,選手登録!$M$8:$V$57,7,FALSE),"")</f>
        <v/>
      </c>
      <c r="U32" s="212" t="str">
        <f>IF($R32&lt;&gt;"",IF(VLOOKUP($R32,選手登録!$M$8:$U$57,9,FALSE)&lt;&gt;"",1,0),"")</f>
        <v/>
      </c>
      <c r="V32" s="212" t="str">
        <f>IF($E32&lt;&gt;"",VLOOKUP($E32,馬匹登録!$L$8:$N$57,3,FALSE),"")</f>
        <v/>
      </c>
      <c r="W32" s="212" t="str">
        <f>IF($V32&lt;&gt;"",IF(VLOOKUP($V32,馬匹登録!$N$8:$O$57,2,FALSE)&lt;&gt;"",1,0),"")</f>
        <v/>
      </c>
      <c r="X32" s="212" t="str">
        <f>IF($V32&lt;&gt;"",IF(VLOOKUP($V32,馬匹登録!$N$8:$Q$57,3,FALSE)&lt;&gt;"",1,0),"")</f>
        <v/>
      </c>
      <c r="Y32" s="212" t="str">
        <f>IF($V32&lt;&gt;"",IF(VLOOKUP($V32,馬匹登録!$N$8:$Q$57,4,FALSE)&lt;&gt;"",1,0),"")</f>
        <v/>
      </c>
      <c r="Z32" s="212" t="str">
        <f>IF($G32&lt;&gt;"",VLOOKUP($G32,リスト!$J$2:$K$5,2,FALSE),"")</f>
        <v/>
      </c>
      <c r="AA32" s="212" t="str">
        <f>IF($E32&lt;&gt;"",IFERROR(VLOOKUP($N32,マスタ!$H$4:$R$51,7+VLOOKUP($G32,リスト!$J$2:$K$5,2,FALSE),FALSE),"-"),"")</f>
        <v/>
      </c>
      <c r="AB32" s="212" t="str">
        <f t="shared" si="5"/>
        <v/>
      </c>
      <c r="AC32" s="212">
        <f>IF($AC$6=1,IFERROR(IF(AND($N32&lt;&gt;"",$R32&lt;&gt;""),IF(VLOOKUP($N32,マスタ!$T$4:$AC$51,4+$S32,FALSE)=0,1,0),0),1),0)</f>
        <v>0</v>
      </c>
      <c r="AD32" s="212">
        <f t="shared" si="6"/>
        <v>0</v>
      </c>
      <c r="AE32" s="212">
        <f>IF($AE$6=1,IFERROR(IF($G32="社馬連",IF(IFERROR(VLOOKUP($F32,リスト!$F$10:$H$51,2,FALSE),2)&lt;&gt;0,1,0),0),1),0)</f>
        <v>0</v>
      </c>
      <c r="AF32" s="212">
        <f t="shared" si="7"/>
        <v>0</v>
      </c>
      <c r="AG32" s="212">
        <f t="shared" si="8"/>
        <v>0</v>
      </c>
      <c r="AH32" s="212">
        <f t="shared" si="9"/>
        <v>0</v>
      </c>
      <c r="AI32" s="212">
        <f t="shared" si="10"/>
        <v>0</v>
      </c>
      <c r="AJ32" s="212">
        <f t="shared" si="11"/>
        <v>0</v>
      </c>
      <c r="AK32" s="212" t="str">
        <f t="shared" si="12"/>
        <v/>
      </c>
      <c r="AL32" s="212">
        <f t="shared" si="13"/>
        <v>0</v>
      </c>
      <c r="AM32" s="212" t="str">
        <f>IFERROR(VLOOKUP($N32,マスタ!$T$4:$AE$51,12,TRUE),"")</f>
        <v/>
      </c>
      <c r="AO32" s="212" t="str">
        <f t="shared" ca="1" si="14"/>
        <v/>
      </c>
      <c r="AP32" s="212" t="str">
        <f t="shared" ca="1" si="15"/>
        <v/>
      </c>
      <c r="AQ32" s="212" t="str">
        <f t="shared" ca="1" si="16"/>
        <v/>
      </c>
      <c r="AR32" s="212" t="str">
        <f t="shared" ca="1" si="0"/>
        <v/>
      </c>
      <c r="AS32" s="212" t="str">
        <f t="shared" ca="1" si="17"/>
        <v/>
      </c>
      <c r="AT32" s="212" t="str">
        <f t="shared" ca="1" si="18"/>
        <v/>
      </c>
      <c r="AU32" s="212" t="str">
        <f t="shared" ca="1" si="19"/>
        <v/>
      </c>
      <c r="AV32" s="212" t="str">
        <f t="shared" ca="1" si="20"/>
        <v/>
      </c>
      <c r="AX32" s="212">
        <f t="shared" si="21"/>
        <v>0</v>
      </c>
      <c r="AY32" s="212">
        <f t="shared" si="22"/>
        <v>25</v>
      </c>
      <c r="AZ32" s="212" t="str">
        <f t="shared" ca="1" si="23"/>
        <v/>
      </c>
      <c r="BA32" s="212" t="str">
        <f t="shared" si="1"/>
        <v/>
      </c>
      <c r="BB32" s="212" t="str">
        <f t="shared" si="24"/>
        <v/>
      </c>
      <c r="BC32" s="212" t="str">
        <f t="shared" ca="1" si="2"/>
        <v/>
      </c>
    </row>
    <row r="33" spans="1:55" ht="24" customHeight="1" x14ac:dyDescent="0.15">
      <c r="A33" s="234">
        <v>26</v>
      </c>
      <c r="B33" s="235" t="str">
        <f>IF($C33&lt;&gt;"",VLOOKUP($N33,マスタ!$H$4:$K$51,3,TRUE),"")</f>
        <v/>
      </c>
      <c r="C33" s="236"/>
      <c r="D33" s="236"/>
      <c r="E33" s="236"/>
      <c r="F33" s="237" t="str">
        <f>IF($R33&lt;&gt;"",IF(VLOOKUP($R33,選手登録!$A$8:$H$57,8,FALSE)&lt;&gt;"",VLOOKUP($R33,選手登録!$A$8:$H$57,8,FALSE),団体登録!$B$7),"")</f>
        <v/>
      </c>
      <c r="G33" s="238"/>
      <c r="H33" s="333" t="str">
        <f t="shared" si="3"/>
        <v/>
      </c>
      <c r="I33" s="239"/>
      <c r="J33" s="233" t="str">
        <f>IF($AC33&gt;0,リスト!$Y$22,IF($AD33=1,リスト!$Y$21,IF($AD33=2,リスト!$Y$23,IF($AE33&gt;0,リスト!$Y$18,IF($AF33&gt;0,リスト!$Y$19,IF($AG33&gt;0,リスト!$Y$20,IF($AH33&gt;0,リスト!$Y$24,IF($AI33&gt;0,リスト!$Y$25,IF($AJ33&gt;0,リスト!$Y$26,"")))))))))</f>
        <v/>
      </c>
      <c r="K33" s="211" t="s">
        <v>149</v>
      </c>
      <c r="M33" s="212">
        <f t="shared" si="4"/>
        <v>26</v>
      </c>
      <c r="N33" s="212" t="str">
        <f>IF($C33&lt;&gt;"",VLOOKUP($C33,マスタ!$L$4:$U$51,9,FALSE),"")</f>
        <v/>
      </c>
      <c r="O33" s="212" t="str">
        <f>IF($C33&lt;&gt;"",VLOOKUP($N33,マスタ!$H$4:$I$51,2,TRUE),"")</f>
        <v/>
      </c>
      <c r="P33" s="212" t="str">
        <f>IF($N33&lt;&gt;"",VLOOKUP($N33,マスタ!$T$4:$W$51,3,FALSE),"")</f>
        <v/>
      </c>
      <c r="Q33" s="212" t="str">
        <f>IF($N33&lt;&gt;"",VLOOKUP($N33,マスタ!$T$4:$W$51,4,FALSE),"")</f>
        <v/>
      </c>
      <c r="R33" s="212" t="str">
        <f>IF($D33&lt;&gt;"",VLOOKUP($D33,選手登録!$N$8:$P$57,3,FALSE),"")</f>
        <v/>
      </c>
      <c r="S33" s="212" t="str">
        <f>IF($R33&lt;&gt;"",VLOOKUP($R33,選手登録!$M$8:$V$57,6,FALSE),"")</f>
        <v/>
      </c>
      <c r="T33" s="212" t="str">
        <f>IF($R33&lt;&gt;"",VLOOKUP($R33,選手登録!$M$8:$V$57,7,FALSE),"")</f>
        <v/>
      </c>
      <c r="U33" s="212" t="str">
        <f>IF($R33&lt;&gt;"",IF(VLOOKUP($R33,選手登録!$M$8:$U$57,9,FALSE)&lt;&gt;"",1,0),"")</f>
        <v/>
      </c>
      <c r="V33" s="212" t="str">
        <f>IF($E33&lt;&gt;"",VLOOKUP($E33,馬匹登録!$L$8:$N$57,3,FALSE),"")</f>
        <v/>
      </c>
      <c r="W33" s="212" t="str">
        <f>IF($V33&lt;&gt;"",IF(VLOOKUP($V33,馬匹登録!$N$8:$O$57,2,FALSE)&lt;&gt;"",1,0),"")</f>
        <v/>
      </c>
      <c r="X33" s="212" t="str">
        <f>IF($V33&lt;&gt;"",IF(VLOOKUP($V33,馬匹登録!$N$8:$Q$57,3,FALSE)&lt;&gt;"",1,0),"")</f>
        <v/>
      </c>
      <c r="Y33" s="212" t="str">
        <f>IF($V33&lt;&gt;"",IF(VLOOKUP($V33,馬匹登録!$N$8:$Q$57,4,FALSE)&lt;&gt;"",1,0),"")</f>
        <v/>
      </c>
      <c r="Z33" s="212" t="str">
        <f>IF($G33&lt;&gt;"",VLOOKUP($G33,リスト!$J$2:$K$5,2,FALSE),"")</f>
        <v/>
      </c>
      <c r="AA33" s="212" t="str">
        <f>IF($E33&lt;&gt;"",IFERROR(VLOOKUP($N33,マスタ!$H$4:$R$51,7+VLOOKUP($G33,リスト!$J$2:$K$5,2,FALSE),FALSE),"-"),"")</f>
        <v/>
      </c>
      <c r="AB33" s="212" t="str">
        <f t="shared" si="5"/>
        <v/>
      </c>
      <c r="AC33" s="212">
        <f>IF($AC$6=1,IFERROR(IF(AND($N33&lt;&gt;"",$R33&lt;&gt;""),IF(VLOOKUP($N33,マスタ!$T$4:$AC$51,4+$S33,FALSE)=0,1,0),0),1),0)</f>
        <v>0</v>
      </c>
      <c r="AD33" s="212">
        <f t="shared" si="6"/>
        <v>0</v>
      </c>
      <c r="AE33" s="212">
        <f>IF($AE$6=1,IFERROR(IF($G33="社馬連",IF(IFERROR(VLOOKUP($F33,リスト!$F$10:$H$51,2,FALSE),2)&lt;&gt;0,1,0),0),1),0)</f>
        <v>0</v>
      </c>
      <c r="AF33" s="212">
        <f t="shared" si="7"/>
        <v>0</v>
      </c>
      <c r="AG33" s="212">
        <f t="shared" si="8"/>
        <v>0</v>
      </c>
      <c r="AH33" s="212">
        <f t="shared" si="9"/>
        <v>0</v>
      </c>
      <c r="AI33" s="212">
        <f t="shared" si="10"/>
        <v>0</v>
      </c>
      <c r="AJ33" s="212">
        <f t="shared" si="11"/>
        <v>0</v>
      </c>
      <c r="AK33" s="212" t="str">
        <f t="shared" si="12"/>
        <v/>
      </c>
      <c r="AL33" s="212">
        <f t="shared" si="13"/>
        <v>0</v>
      </c>
      <c r="AM33" s="212" t="str">
        <f>IFERROR(VLOOKUP($N33,マスタ!$T$4:$AE$51,12,TRUE),"")</f>
        <v/>
      </c>
      <c r="AO33" s="212" t="str">
        <f t="shared" ca="1" si="14"/>
        <v/>
      </c>
      <c r="AP33" s="212" t="str">
        <f t="shared" ca="1" si="15"/>
        <v/>
      </c>
      <c r="AQ33" s="212" t="str">
        <f t="shared" ca="1" si="16"/>
        <v/>
      </c>
      <c r="AR33" s="212" t="str">
        <f t="shared" ca="1" si="0"/>
        <v/>
      </c>
      <c r="AS33" s="212" t="str">
        <f t="shared" ca="1" si="17"/>
        <v/>
      </c>
      <c r="AT33" s="212" t="str">
        <f t="shared" ca="1" si="18"/>
        <v/>
      </c>
      <c r="AU33" s="212" t="str">
        <f t="shared" ca="1" si="19"/>
        <v/>
      </c>
      <c r="AV33" s="212" t="str">
        <f t="shared" ca="1" si="20"/>
        <v/>
      </c>
      <c r="AX33" s="212">
        <f t="shared" si="21"/>
        <v>0</v>
      </c>
      <c r="AY33" s="212">
        <f t="shared" si="22"/>
        <v>26</v>
      </c>
      <c r="AZ33" s="212" t="str">
        <f t="shared" ca="1" si="23"/>
        <v/>
      </c>
      <c r="BA33" s="212" t="str">
        <f t="shared" si="1"/>
        <v/>
      </c>
      <c r="BB33" s="212" t="str">
        <f t="shared" si="24"/>
        <v/>
      </c>
      <c r="BC33" s="212" t="str">
        <f t="shared" ca="1" si="2"/>
        <v/>
      </c>
    </row>
    <row r="34" spans="1:55" ht="24" customHeight="1" x14ac:dyDescent="0.15">
      <c r="A34" s="234">
        <v>27</v>
      </c>
      <c r="B34" s="235" t="str">
        <f>IF($C34&lt;&gt;"",VLOOKUP($N34,マスタ!$H$4:$K$51,3,TRUE),"")</f>
        <v/>
      </c>
      <c r="C34" s="236"/>
      <c r="D34" s="236"/>
      <c r="E34" s="236"/>
      <c r="F34" s="237" t="str">
        <f>IF($R34&lt;&gt;"",IF(VLOOKUP($R34,選手登録!$A$8:$H$57,8,FALSE)&lt;&gt;"",VLOOKUP($R34,選手登録!$A$8:$H$57,8,FALSE),団体登録!$B$7),"")</f>
        <v/>
      </c>
      <c r="G34" s="238"/>
      <c r="H34" s="333" t="str">
        <f t="shared" si="3"/>
        <v/>
      </c>
      <c r="I34" s="239"/>
      <c r="J34" s="233" t="str">
        <f>IF($AC34&gt;0,リスト!$Y$22,IF($AD34=1,リスト!$Y$21,IF($AD34=2,リスト!$Y$23,IF($AE34&gt;0,リスト!$Y$18,IF($AF34&gt;0,リスト!$Y$19,IF($AG34&gt;0,リスト!$Y$20,IF($AH34&gt;0,リスト!$Y$24,IF($AI34&gt;0,リスト!$Y$25,IF($AJ34&gt;0,リスト!$Y$26,"")))))))))</f>
        <v/>
      </c>
      <c r="K34" s="211" t="s">
        <v>149</v>
      </c>
      <c r="M34" s="212">
        <f t="shared" si="4"/>
        <v>27</v>
      </c>
      <c r="N34" s="212" t="str">
        <f>IF($C34&lt;&gt;"",VLOOKUP($C34,マスタ!$L$4:$U$51,9,FALSE),"")</f>
        <v/>
      </c>
      <c r="O34" s="212" t="str">
        <f>IF($C34&lt;&gt;"",VLOOKUP($N34,マスタ!$H$4:$I$51,2,TRUE),"")</f>
        <v/>
      </c>
      <c r="P34" s="212" t="str">
        <f>IF($N34&lt;&gt;"",VLOOKUP($N34,マスタ!$T$4:$W$51,3,FALSE),"")</f>
        <v/>
      </c>
      <c r="Q34" s="212" t="str">
        <f>IF($N34&lt;&gt;"",VLOOKUP($N34,マスタ!$T$4:$W$51,4,FALSE),"")</f>
        <v/>
      </c>
      <c r="R34" s="212" t="str">
        <f>IF($D34&lt;&gt;"",VLOOKUP($D34,選手登録!$N$8:$P$57,3,FALSE),"")</f>
        <v/>
      </c>
      <c r="S34" s="212" t="str">
        <f>IF($R34&lt;&gt;"",VLOOKUP($R34,選手登録!$M$8:$V$57,6,FALSE),"")</f>
        <v/>
      </c>
      <c r="T34" s="212" t="str">
        <f>IF($R34&lt;&gt;"",VLOOKUP($R34,選手登録!$M$8:$V$57,7,FALSE),"")</f>
        <v/>
      </c>
      <c r="U34" s="212" t="str">
        <f>IF($R34&lt;&gt;"",IF(VLOOKUP($R34,選手登録!$M$8:$U$57,9,FALSE)&lt;&gt;"",1,0),"")</f>
        <v/>
      </c>
      <c r="V34" s="212" t="str">
        <f>IF($E34&lt;&gt;"",VLOOKUP($E34,馬匹登録!$L$8:$N$57,3,FALSE),"")</f>
        <v/>
      </c>
      <c r="W34" s="212" t="str">
        <f>IF($V34&lt;&gt;"",IF(VLOOKUP($V34,馬匹登録!$N$8:$O$57,2,FALSE)&lt;&gt;"",1,0),"")</f>
        <v/>
      </c>
      <c r="X34" s="212" t="str">
        <f>IF($V34&lt;&gt;"",IF(VLOOKUP($V34,馬匹登録!$N$8:$Q$57,3,FALSE)&lt;&gt;"",1,0),"")</f>
        <v/>
      </c>
      <c r="Y34" s="212" t="str">
        <f>IF($V34&lt;&gt;"",IF(VLOOKUP($V34,馬匹登録!$N$8:$Q$57,4,FALSE)&lt;&gt;"",1,0),"")</f>
        <v/>
      </c>
      <c r="Z34" s="212" t="str">
        <f>IF($G34&lt;&gt;"",VLOOKUP($G34,リスト!$J$2:$K$5,2,FALSE),"")</f>
        <v/>
      </c>
      <c r="AA34" s="212" t="str">
        <f>IF($E34&lt;&gt;"",IFERROR(VLOOKUP($N34,マスタ!$H$4:$R$51,7+VLOOKUP($G34,リスト!$J$2:$K$5,2,FALSE),FALSE),"-"),"")</f>
        <v/>
      </c>
      <c r="AB34" s="212" t="str">
        <f t="shared" si="5"/>
        <v/>
      </c>
      <c r="AC34" s="212">
        <f>IF($AC$6=1,IFERROR(IF(AND($N34&lt;&gt;"",$R34&lt;&gt;""),IF(VLOOKUP($N34,マスタ!$T$4:$AC$51,4+$S34,FALSE)=0,1,0),0),1),0)</f>
        <v>0</v>
      </c>
      <c r="AD34" s="212">
        <f t="shared" si="6"/>
        <v>0</v>
      </c>
      <c r="AE34" s="212">
        <f>IF($AE$6=1,IFERROR(IF($G34="社馬連",IF(IFERROR(VLOOKUP($F34,リスト!$F$10:$H$51,2,FALSE),2)&lt;&gt;0,1,0),0),1),0)</f>
        <v>0</v>
      </c>
      <c r="AF34" s="212">
        <f t="shared" si="7"/>
        <v>0</v>
      </c>
      <c r="AG34" s="212">
        <f t="shared" si="8"/>
        <v>0</v>
      </c>
      <c r="AH34" s="212">
        <f t="shared" si="9"/>
        <v>0</v>
      </c>
      <c r="AI34" s="212">
        <f t="shared" si="10"/>
        <v>0</v>
      </c>
      <c r="AJ34" s="212">
        <f t="shared" si="11"/>
        <v>0</v>
      </c>
      <c r="AK34" s="212" t="str">
        <f t="shared" si="12"/>
        <v/>
      </c>
      <c r="AL34" s="212">
        <f t="shared" si="13"/>
        <v>0</v>
      </c>
      <c r="AM34" s="212" t="str">
        <f>IFERROR(VLOOKUP($N34,マスタ!$T$4:$AE$51,12,TRUE),"")</f>
        <v/>
      </c>
      <c r="AO34" s="212" t="str">
        <f t="shared" ca="1" si="14"/>
        <v/>
      </c>
      <c r="AP34" s="212" t="str">
        <f t="shared" ca="1" si="15"/>
        <v/>
      </c>
      <c r="AQ34" s="212" t="str">
        <f t="shared" ca="1" si="16"/>
        <v/>
      </c>
      <c r="AR34" s="212" t="str">
        <f t="shared" ca="1" si="0"/>
        <v/>
      </c>
      <c r="AS34" s="212" t="str">
        <f t="shared" ca="1" si="17"/>
        <v/>
      </c>
      <c r="AT34" s="212" t="str">
        <f t="shared" ca="1" si="18"/>
        <v/>
      </c>
      <c r="AU34" s="212" t="str">
        <f t="shared" ca="1" si="19"/>
        <v/>
      </c>
      <c r="AV34" s="212" t="str">
        <f t="shared" ca="1" si="20"/>
        <v/>
      </c>
      <c r="AX34" s="212">
        <f t="shared" si="21"/>
        <v>0</v>
      </c>
      <c r="AY34" s="212">
        <f t="shared" si="22"/>
        <v>27</v>
      </c>
      <c r="AZ34" s="212" t="str">
        <f t="shared" ca="1" si="23"/>
        <v/>
      </c>
      <c r="BA34" s="212" t="str">
        <f t="shared" si="1"/>
        <v/>
      </c>
      <c r="BB34" s="212" t="str">
        <f t="shared" si="24"/>
        <v/>
      </c>
      <c r="BC34" s="212" t="str">
        <f t="shared" ca="1" si="2"/>
        <v/>
      </c>
    </row>
    <row r="35" spans="1:55" ht="24" customHeight="1" x14ac:dyDescent="0.15">
      <c r="A35" s="234">
        <v>28</v>
      </c>
      <c r="B35" s="235" t="str">
        <f>IF($C35&lt;&gt;"",VLOOKUP($N35,マスタ!$H$4:$K$51,3,TRUE),"")</f>
        <v/>
      </c>
      <c r="C35" s="236"/>
      <c r="D35" s="236"/>
      <c r="E35" s="236"/>
      <c r="F35" s="237" t="str">
        <f>IF($R35&lt;&gt;"",IF(VLOOKUP($R35,選手登録!$A$8:$H$57,8,FALSE)&lt;&gt;"",VLOOKUP($R35,選手登録!$A$8:$H$57,8,FALSE),団体登録!$B$7),"")</f>
        <v/>
      </c>
      <c r="G35" s="238"/>
      <c r="H35" s="333" t="str">
        <f t="shared" si="3"/>
        <v/>
      </c>
      <c r="I35" s="239"/>
      <c r="J35" s="233" t="str">
        <f>IF($AC35&gt;0,リスト!$Y$22,IF($AD35=1,リスト!$Y$21,IF($AD35=2,リスト!$Y$23,IF($AE35&gt;0,リスト!$Y$18,IF($AF35&gt;0,リスト!$Y$19,IF($AG35&gt;0,リスト!$Y$20,IF($AH35&gt;0,リスト!$Y$24,IF($AI35&gt;0,リスト!$Y$25,IF($AJ35&gt;0,リスト!$Y$26,"")))))))))</f>
        <v/>
      </c>
      <c r="K35" s="211" t="s">
        <v>149</v>
      </c>
      <c r="M35" s="212">
        <f t="shared" si="4"/>
        <v>28</v>
      </c>
      <c r="N35" s="212" t="str">
        <f>IF($C35&lt;&gt;"",VLOOKUP($C35,マスタ!$L$4:$U$51,9,FALSE),"")</f>
        <v/>
      </c>
      <c r="O35" s="212" t="str">
        <f>IF($C35&lt;&gt;"",VLOOKUP($N35,マスタ!$H$4:$I$51,2,TRUE),"")</f>
        <v/>
      </c>
      <c r="P35" s="212" t="str">
        <f>IF($N35&lt;&gt;"",VLOOKUP($N35,マスタ!$T$4:$W$51,3,FALSE),"")</f>
        <v/>
      </c>
      <c r="Q35" s="212" t="str">
        <f>IF($N35&lt;&gt;"",VLOOKUP($N35,マスタ!$T$4:$W$51,4,FALSE),"")</f>
        <v/>
      </c>
      <c r="R35" s="212" t="str">
        <f>IF($D35&lt;&gt;"",VLOOKUP($D35,選手登録!$N$8:$P$57,3,FALSE),"")</f>
        <v/>
      </c>
      <c r="S35" s="212" t="str">
        <f>IF($R35&lt;&gt;"",VLOOKUP($R35,選手登録!$M$8:$V$57,6,FALSE),"")</f>
        <v/>
      </c>
      <c r="T35" s="212" t="str">
        <f>IF($R35&lt;&gt;"",VLOOKUP($R35,選手登録!$M$8:$V$57,7,FALSE),"")</f>
        <v/>
      </c>
      <c r="U35" s="212" t="str">
        <f>IF($R35&lt;&gt;"",IF(VLOOKUP($R35,選手登録!$M$8:$U$57,9,FALSE)&lt;&gt;"",1,0),"")</f>
        <v/>
      </c>
      <c r="V35" s="212" t="str">
        <f>IF($E35&lt;&gt;"",VLOOKUP($E35,馬匹登録!$L$8:$N$57,3,FALSE),"")</f>
        <v/>
      </c>
      <c r="W35" s="212" t="str">
        <f>IF($V35&lt;&gt;"",IF(VLOOKUP($V35,馬匹登録!$N$8:$O$57,2,FALSE)&lt;&gt;"",1,0),"")</f>
        <v/>
      </c>
      <c r="X35" s="212" t="str">
        <f>IF($V35&lt;&gt;"",IF(VLOOKUP($V35,馬匹登録!$N$8:$Q$57,3,FALSE)&lt;&gt;"",1,0),"")</f>
        <v/>
      </c>
      <c r="Y35" s="212" t="str">
        <f>IF($V35&lt;&gt;"",IF(VLOOKUP($V35,馬匹登録!$N$8:$Q$57,4,FALSE)&lt;&gt;"",1,0),"")</f>
        <v/>
      </c>
      <c r="Z35" s="212" t="str">
        <f>IF($G35&lt;&gt;"",VLOOKUP($G35,リスト!$J$2:$K$5,2,FALSE),"")</f>
        <v/>
      </c>
      <c r="AA35" s="212" t="str">
        <f>IF($E35&lt;&gt;"",IFERROR(VLOOKUP($N35,マスタ!$H$4:$R$51,7+VLOOKUP($G35,リスト!$J$2:$K$5,2,FALSE),FALSE),"-"),"")</f>
        <v/>
      </c>
      <c r="AB35" s="212" t="str">
        <f t="shared" si="5"/>
        <v/>
      </c>
      <c r="AC35" s="212">
        <f>IF($AC$6=1,IFERROR(IF(AND($N35&lt;&gt;"",$R35&lt;&gt;""),IF(VLOOKUP($N35,マスタ!$T$4:$AC$51,4+$S35,FALSE)=0,1,0),0),1),0)</f>
        <v>0</v>
      </c>
      <c r="AD35" s="212">
        <f t="shared" si="6"/>
        <v>0</v>
      </c>
      <c r="AE35" s="212">
        <f>IF($AE$6=1,IFERROR(IF($G35="社馬連",IF(IFERROR(VLOOKUP($F35,リスト!$F$10:$H$51,2,FALSE),2)&lt;&gt;0,1,0),0),1),0)</f>
        <v>0</v>
      </c>
      <c r="AF35" s="212">
        <f t="shared" si="7"/>
        <v>0</v>
      </c>
      <c r="AG35" s="212">
        <f t="shared" si="8"/>
        <v>0</v>
      </c>
      <c r="AH35" s="212">
        <f t="shared" si="9"/>
        <v>0</v>
      </c>
      <c r="AI35" s="212">
        <f t="shared" si="10"/>
        <v>0</v>
      </c>
      <c r="AJ35" s="212">
        <f t="shared" si="11"/>
        <v>0</v>
      </c>
      <c r="AK35" s="212" t="str">
        <f t="shared" si="12"/>
        <v/>
      </c>
      <c r="AL35" s="212">
        <f t="shared" si="13"/>
        <v>0</v>
      </c>
      <c r="AM35" s="212" t="str">
        <f>IFERROR(VLOOKUP($N35,マスタ!$T$4:$AE$51,12,TRUE),"")</f>
        <v/>
      </c>
      <c r="AO35" s="212" t="str">
        <f t="shared" ca="1" si="14"/>
        <v/>
      </c>
      <c r="AP35" s="212" t="str">
        <f t="shared" ca="1" si="15"/>
        <v/>
      </c>
      <c r="AQ35" s="212" t="str">
        <f t="shared" ca="1" si="16"/>
        <v/>
      </c>
      <c r="AR35" s="212" t="str">
        <f t="shared" ca="1" si="0"/>
        <v/>
      </c>
      <c r="AS35" s="212" t="str">
        <f t="shared" ca="1" si="17"/>
        <v/>
      </c>
      <c r="AT35" s="212" t="str">
        <f t="shared" ca="1" si="18"/>
        <v/>
      </c>
      <c r="AU35" s="212" t="str">
        <f t="shared" ca="1" si="19"/>
        <v/>
      </c>
      <c r="AV35" s="212" t="str">
        <f t="shared" ca="1" si="20"/>
        <v/>
      </c>
      <c r="AX35" s="212">
        <f t="shared" si="21"/>
        <v>0</v>
      </c>
      <c r="AY35" s="212">
        <f t="shared" si="22"/>
        <v>28</v>
      </c>
      <c r="AZ35" s="212" t="str">
        <f t="shared" ca="1" si="23"/>
        <v/>
      </c>
      <c r="BA35" s="212" t="str">
        <f t="shared" si="1"/>
        <v/>
      </c>
      <c r="BB35" s="212" t="str">
        <f t="shared" si="24"/>
        <v/>
      </c>
      <c r="BC35" s="212" t="str">
        <f t="shared" ca="1" si="2"/>
        <v/>
      </c>
    </row>
    <row r="36" spans="1:55" ht="24" customHeight="1" x14ac:dyDescent="0.15">
      <c r="A36" s="234">
        <v>29</v>
      </c>
      <c r="B36" s="235" t="str">
        <f>IF($C36&lt;&gt;"",VLOOKUP($N36,マスタ!$H$4:$K$51,3,TRUE),"")</f>
        <v/>
      </c>
      <c r="C36" s="236"/>
      <c r="D36" s="236"/>
      <c r="E36" s="236"/>
      <c r="F36" s="237" t="str">
        <f>IF($R36&lt;&gt;"",IF(VLOOKUP($R36,選手登録!$A$8:$H$57,8,FALSE)&lt;&gt;"",VLOOKUP($R36,選手登録!$A$8:$H$57,8,FALSE),団体登録!$B$7),"")</f>
        <v/>
      </c>
      <c r="G36" s="238"/>
      <c r="H36" s="333" t="str">
        <f t="shared" si="3"/>
        <v/>
      </c>
      <c r="I36" s="239"/>
      <c r="J36" s="233" t="str">
        <f>IF($AC36&gt;0,リスト!$Y$22,IF($AD36=1,リスト!$Y$21,IF($AD36=2,リスト!$Y$23,IF($AE36&gt;0,リスト!$Y$18,IF($AF36&gt;0,リスト!$Y$19,IF($AG36&gt;0,リスト!$Y$20,IF($AH36&gt;0,リスト!$Y$24,IF($AI36&gt;0,リスト!$Y$25,IF($AJ36&gt;0,リスト!$Y$26,"")))))))))</f>
        <v/>
      </c>
      <c r="K36" s="211" t="s">
        <v>149</v>
      </c>
      <c r="M36" s="212">
        <f t="shared" si="4"/>
        <v>29</v>
      </c>
      <c r="N36" s="212" t="str">
        <f>IF($C36&lt;&gt;"",VLOOKUP($C36,マスタ!$L$4:$U$51,9,FALSE),"")</f>
        <v/>
      </c>
      <c r="O36" s="212" t="str">
        <f>IF($C36&lt;&gt;"",VLOOKUP($N36,マスタ!$H$4:$I$51,2,TRUE),"")</f>
        <v/>
      </c>
      <c r="P36" s="212" t="str">
        <f>IF($N36&lt;&gt;"",VLOOKUP($N36,マスタ!$T$4:$W$51,3,FALSE),"")</f>
        <v/>
      </c>
      <c r="Q36" s="212" t="str">
        <f>IF($N36&lt;&gt;"",VLOOKUP($N36,マスタ!$T$4:$W$51,4,FALSE),"")</f>
        <v/>
      </c>
      <c r="R36" s="212" t="str">
        <f>IF($D36&lt;&gt;"",VLOOKUP($D36,選手登録!$N$8:$P$57,3,FALSE),"")</f>
        <v/>
      </c>
      <c r="S36" s="212" t="str">
        <f>IF($R36&lt;&gt;"",VLOOKUP($R36,選手登録!$M$8:$V$57,6,FALSE),"")</f>
        <v/>
      </c>
      <c r="T36" s="212" t="str">
        <f>IF($R36&lt;&gt;"",VLOOKUP($R36,選手登録!$M$8:$V$57,7,FALSE),"")</f>
        <v/>
      </c>
      <c r="U36" s="212" t="str">
        <f>IF($R36&lt;&gt;"",IF(VLOOKUP($R36,選手登録!$M$8:$U$57,9,FALSE)&lt;&gt;"",1,0),"")</f>
        <v/>
      </c>
      <c r="V36" s="212" t="str">
        <f>IF($E36&lt;&gt;"",VLOOKUP($E36,馬匹登録!$L$8:$N$57,3,FALSE),"")</f>
        <v/>
      </c>
      <c r="W36" s="212" t="str">
        <f>IF($V36&lt;&gt;"",IF(VLOOKUP($V36,馬匹登録!$N$8:$O$57,2,FALSE)&lt;&gt;"",1,0),"")</f>
        <v/>
      </c>
      <c r="X36" s="212" t="str">
        <f>IF($V36&lt;&gt;"",IF(VLOOKUP($V36,馬匹登録!$N$8:$Q$57,3,FALSE)&lt;&gt;"",1,0),"")</f>
        <v/>
      </c>
      <c r="Y36" s="212" t="str">
        <f>IF($V36&lt;&gt;"",IF(VLOOKUP($V36,馬匹登録!$N$8:$Q$57,4,FALSE)&lt;&gt;"",1,0),"")</f>
        <v/>
      </c>
      <c r="Z36" s="212" t="str">
        <f>IF($G36&lt;&gt;"",VLOOKUP($G36,リスト!$J$2:$K$5,2,FALSE),"")</f>
        <v/>
      </c>
      <c r="AA36" s="212" t="str">
        <f>IF($E36&lt;&gt;"",IFERROR(VLOOKUP($N36,マスタ!$H$4:$R$51,7+VLOOKUP($G36,リスト!$J$2:$K$5,2,FALSE),FALSE),"-"),"")</f>
        <v/>
      </c>
      <c r="AB36" s="212" t="str">
        <f t="shared" si="5"/>
        <v/>
      </c>
      <c r="AC36" s="212">
        <f>IF($AC$6=1,IFERROR(IF(AND($N36&lt;&gt;"",$R36&lt;&gt;""),IF(VLOOKUP($N36,マスタ!$T$4:$AC$51,4+$S36,FALSE)=0,1,0),0),1),0)</f>
        <v>0</v>
      </c>
      <c r="AD36" s="212">
        <f t="shared" si="6"/>
        <v>0</v>
      </c>
      <c r="AE36" s="212">
        <f>IF($AE$6=1,IFERROR(IF($G36="社馬連",IF(IFERROR(VLOOKUP($F36,リスト!$F$10:$H$51,2,FALSE),2)&lt;&gt;0,1,0),0),1),0)</f>
        <v>0</v>
      </c>
      <c r="AF36" s="212">
        <f t="shared" si="7"/>
        <v>0</v>
      </c>
      <c r="AG36" s="212">
        <f t="shared" si="8"/>
        <v>0</v>
      </c>
      <c r="AH36" s="212">
        <f t="shared" si="9"/>
        <v>0</v>
      </c>
      <c r="AI36" s="212">
        <f t="shared" si="10"/>
        <v>0</v>
      </c>
      <c r="AJ36" s="212">
        <f t="shared" si="11"/>
        <v>0</v>
      </c>
      <c r="AK36" s="212" t="str">
        <f t="shared" si="12"/>
        <v/>
      </c>
      <c r="AL36" s="212">
        <f t="shared" si="13"/>
        <v>0</v>
      </c>
      <c r="AM36" s="212" t="str">
        <f>IFERROR(VLOOKUP($N36,マスタ!$T$4:$AE$51,12,TRUE),"")</f>
        <v/>
      </c>
      <c r="AO36" s="212" t="str">
        <f t="shared" ca="1" si="14"/>
        <v/>
      </c>
      <c r="AP36" s="212" t="str">
        <f t="shared" ca="1" si="15"/>
        <v/>
      </c>
      <c r="AQ36" s="212" t="str">
        <f t="shared" ca="1" si="16"/>
        <v/>
      </c>
      <c r="AR36" s="212" t="str">
        <f t="shared" ca="1" si="0"/>
        <v/>
      </c>
      <c r="AS36" s="212" t="str">
        <f t="shared" ca="1" si="17"/>
        <v/>
      </c>
      <c r="AT36" s="212" t="str">
        <f t="shared" ca="1" si="18"/>
        <v/>
      </c>
      <c r="AU36" s="212" t="str">
        <f t="shared" ca="1" si="19"/>
        <v/>
      </c>
      <c r="AV36" s="212" t="str">
        <f t="shared" ca="1" si="20"/>
        <v/>
      </c>
      <c r="AX36" s="212">
        <f t="shared" si="21"/>
        <v>0</v>
      </c>
      <c r="AY36" s="212">
        <f t="shared" si="22"/>
        <v>29</v>
      </c>
      <c r="AZ36" s="212" t="str">
        <f t="shared" ca="1" si="23"/>
        <v/>
      </c>
      <c r="BA36" s="212" t="str">
        <f t="shared" si="1"/>
        <v/>
      </c>
      <c r="BB36" s="212" t="str">
        <f t="shared" si="24"/>
        <v/>
      </c>
      <c r="BC36" s="212" t="str">
        <f t="shared" ca="1" si="2"/>
        <v/>
      </c>
    </row>
    <row r="37" spans="1:55" ht="24" customHeight="1" x14ac:dyDescent="0.15">
      <c r="A37" s="234">
        <v>30</v>
      </c>
      <c r="B37" s="235" t="str">
        <f>IF($C37&lt;&gt;"",VLOOKUP($N37,マスタ!$H$4:$K$51,3,TRUE),"")</f>
        <v/>
      </c>
      <c r="C37" s="236"/>
      <c r="D37" s="236"/>
      <c r="E37" s="236"/>
      <c r="F37" s="237" t="str">
        <f>IF($R37&lt;&gt;"",IF(VLOOKUP($R37,選手登録!$A$8:$H$57,8,FALSE)&lt;&gt;"",VLOOKUP($R37,選手登録!$A$8:$H$57,8,FALSE),団体登録!$B$7),"")</f>
        <v/>
      </c>
      <c r="G37" s="238"/>
      <c r="H37" s="333" t="str">
        <f t="shared" si="3"/>
        <v/>
      </c>
      <c r="I37" s="239"/>
      <c r="J37" s="233" t="str">
        <f>IF($AC37&gt;0,リスト!$Y$22,IF($AD37=1,リスト!$Y$21,IF($AD37=2,リスト!$Y$23,IF($AE37&gt;0,リスト!$Y$18,IF($AF37&gt;0,リスト!$Y$19,IF($AG37&gt;0,リスト!$Y$20,IF($AH37&gt;0,リスト!$Y$24,IF($AI37&gt;0,リスト!$Y$25,IF($AJ37&gt;0,リスト!$Y$26,"")))))))))</f>
        <v/>
      </c>
      <c r="K37" s="211" t="s">
        <v>149</v>
      </c>
      <c r="M37" s="212">
        <f t="shared" si="4"/>
        <v>30</v>
      </c>
      <c r="N37" s="212" t="str">
        <f>IF($C37&lt;&gt;"",VLOOKUP($C37,マスタ!$L$4:$U$51,9,FALSE),"")</f>
        <v/>
      </c>
      <c r="O37" s="212" t="str">
        <f>IF($C37&lt;&gt;"",VLOOKUP($N37,マスタ!$H$4:$I$51,2,TRUE),"")</f>
        <v/>
      </c>
      <c r="P37" s="212" t="str">
        <f>IF($N37&lt;&gt;"",VLOOKUP($N37,マスタ!$T$4:$W$51,3,FALSE),"")</f>
        <v/>
      </c>
      <c r="Q37" s="212" t="str">
        <f>IF($N37&lt;&gt;"",VLOOKUP($N37,マスタ!$T$4:$W$51,4,FALSE),"")</f>
        <v/>
      </c>
      <c r="R37" s="212" t="str">
        <f>IF($D37&lt;&gt;"",VLOOKUP($D37,選手登録!$N$8:$P$57,3,FALSE),"")</f>
        <v/>
      </c>
      <c r="S37" s="212" t="str">
        <f>IF($R37&lt;&gt;"",VLOOKUP($R37,選手登録!$M$8:$V$57,6,FALSE),"")</f>
        <v/>
      </c>
      <c r="T37" s="212" t="str">
        <f>IF($R37&lt;&gt;"",VLOOKUP($R37,選手登録!$M$8:$V$57,7,FALSE),"")</f>
        <v/>
      </c>
      <c r="U37" s="212" t="str">
        <f>IF($R37&lt;&gt;"",IF(VLOOKUP($R37,選手登録!$M$8:$U$57,9,FALSE)&lt;&gt;"",1,0),"")</f>
        <v/>
      </c>
      <c r="V37" s="212" t="str">
        <f>IF($E37&lt;&gt;"",VLOOKUP($E37,馬匹登録!$L$8:$N$57,3,FALSE),"")</f>
        <v/>
      </c>
      <c r="W37" s="212" t="str">
        <f>IF($V37&lt;&gt;"",IF(VLOOKUP($V37,馬匹登録!$N$8:$O$57,2,FALSE)&lt;&gt;"",1,0),"")</f>
        <v/>
      </c>
      <c r="X37" s="212" t="str">
        <f>IF($V37&lt;&gt;"",IF(VLOOKUP($V37,馬匹登録!$N$8:$Q$57,3,FALSE)&lt;&gt;"",1,0),"")</f>
        <v/>
      </c>
      <c r="Y37" s="212" t="str">
        <f>IF($V37&lt;&gt;"",IF(VLOOKUP($V37,馬匹登録!$N$8:$Q$57,4,FALSE)&lt;&gt;"",1,0),"")</f>
        <v/>
      </c>
      <c r="Z37" s="212" t="str">
        <f>IF($G37&lt;&gt;"",VLOOKUP($G37,リスト!$J$2:$K$5,2,FALSE),"")</f>
        <v/>
      </c>
      <c r="AA37" s="212" t="str">
        <f>IF($E37&lt;&gt;"",IFERROR(VLOOKUP($N37,マスタ!$H$4:$R$51,7+VLOOKUP($G37,リスト!$J$2:$K$5,2,FALSE),FALSE),"-"),"")</f>
        <v/>
      </c>
      <c r="AB37" s="212" t="str">
        <f t="shared" si="5"/>
        <v/>
      </c>
      <c r="AC37" s="212">
        <f>IF($AC$6=1,IFERROR(IF(AND($N37&lt;&gt;"",$R37&lt;&gt;""),IF(VLOOKUP($N37,マスタ!$T$4:$AC$51,4+$S37,FALSE)=0,1,0),0),1),0)</f>
        <v>0</v>
      </c>
      <c r="AD37" s="212">
        <f t="shared" si="6"/>
        <v>0</v>
      </c>
      <c r="AE37" s="212">
        <f>IF($AE$6=1,IFERROR(IF($G37="社馬連",IF(IFERROR(VLOOKUP($F37,リスト!$F$10:$H$51,2,FALSE),2)&lt;&gt;0,1,0),0),1),0)</f>
        <v>0</v>
      </c>
      <c r="AF37" s="212">
        <f t="shared" si="7"/>
        <v>0</v>
      </c>
      <c r="AG37" s="212">
        <f t="shared" si="8"/>
        <v>0</v>
      </c>
      <c r="AH37" s="212">
        <f t="shared" si="9"/>
        <v>0</v>
      </c>
      <c r="AI37" s="212">
        <f t="shared" si="10"/>
        <v>0</v>
      </c>
      <c r="AJ37" s="212">
        <f t="shared" si="11"/>
        <v>0</v>
      </c>
      <c r="AK37" s="212" t="str">
        <f t="shared" si="12"/>
        <v/>
      </c>
      <c r="AL37" s="212">
        <f t="shared" si="13"/>
        <v>0</v>
      </c>
      <c r="AM37" s="212" t="str">
        <f>IFERROR(VLOOKUP($N37,マスタ!$T$4:$AE$51,12,TRUE),"")</f>
        <v/>
      </c>
      <c r="AO37" s="212" t="str">
        <f t="shared" ca="1" si="14"/>
        <v/>
      </c>
      <c r="AP37" s="212" t="str">
        <f t="shared" ca="1" si="15"/>
        <v/>
      </c>
      <c r="AQ37" s="212" t="str">
        <f t="shared" ca="1" si="16"/>
        <v/>
      </c>
      <c r="AR37" s="212" t="str">
        <f t="shared" ca="1" si="0"/>
        <v/>
      </c>
      <c r="AS37" s="212" t="str">
        <f t="shared" ca="1" si="17"/>
        <v/>
      </c>
      <c r="AT37" s="212" t="str">
        <f t="shared" ca="1" si="18"/>
        <v/>
      </c>
      <c r="AU37" s="212" t="str">
        <f t="shared" ca="1" si="19"/>
        <v/>
      </c>
      <c r="AV37" s="212" t="str">
        <f t="shared" ca="1" si="20"/>
        <v/>
      </c>
      <c r="AX37" s="212">
        <f t="shared" si="21"/>
        <v>0</v>
      </c>
      <c r="AY37" s="212">
        <f t="shared" si="22"/>
        <v>30</v>
      </c>
      <c r="AZ37" s="212" t="str">
        <f t="shared" ca="1" si="23"/>
        <v/>
      </c>
      <c r="BA37" s="212" t="str">
        <f t="shared" si="1"/>
        <v/>
      </c>
      <c r="BB37" s="212" t="str">
        <f t="shared" si="24"/>
        <v/>
      </c>
      <c r="BC37" s="212" t="str">
        <f t="shared" ca="1" si="2"/>
        <v/>
      </c>
    </row>
    <row r="38" spans="1:55" ht="24" customHeight="1" x14ac:dyDescent="0.15">
      <c r="A38" s="234">
        <v>31</v>
      </c>
      <c r="B38" s="235" t="str">
        <f>IF($C38&lt;&gt;"",VLOOKUP($N38,マスタ!$H$4:$K$51,3,TRUE),"")</f>
        <v/>
      </c>
      <c r="C38" s="236"/>
      <c r="D38" s="236"/>
      <c r="E38" s="236"/>
      <c r="F38" s="237" t="str">
        <f>IF($R38&lt;&gt;"",IF(VLOOKUP($R38,選手登録!$A$8:$H$57,8,FALSE)&lt;&gt;"",VLOOKUP($R38,選手登録!$A$8:$H$57,8,FALSE),団体登録!$B$7),"")</f>
        <v/>
      </c>
      <c r="G38" s="238"/>
      <c r="H38" s="333" t="str">
        <f t="shared" si="3"/>
        <v/>
      </c>
      <c r="I38" s="239"/>
      <c r="J38" s="233" t="str">
        <f>IF($AC38&gt;0,リスト!$Y$22,IF($AD38=1,リスト!$Y$21,IF($AD38=2,リスト!$Y$23,IF($AE38&gt;0,リスト!$Y$18,IF($AF38&gt;0,リスト!$Y$19,IF($AG38&gt;0,リスト!$Y$20,IF($AH38&gt;0,リスト!$Y$24,IF($AI38&gt;0,リスト!$Y$25,IF($AJ38&gt;0,リスト!$Y$26,"")))))))))</f>
        <v/>
      </c>
      <c r="K38" s="211" t="s">
        <v>149</v>
      </c>
      <c r="M38" s="212">
        <f t="shared" si="4"/>
        <v>31</v>
      </c>
      <c r="N38" s="212" t="str">
        <f>IF($C38&lt;&gt;"",VLOOKUP($C38,マスタ!$L$4:$U$51,9,FALSE),"")</f>
        <v/>
      </c>
      <c r="O38" s="212" t="str">
        <f>IF($C38&lt;&gt;"",VLOOKUP($N38,マスタ!$H$4:$I$51,2,TRUE),"")</f>
        <v/>
      </c>
      <c r="P38" s="212" t="str">
        <f>IF($N38&lt;&gt;"",VLOOKUP($N38,マスタ!$T$4:$W$51,3,FALSE),"")</f>
        <v/>
      </c>
      <c r="Q38" s="212" t="str">
        <f>IF($N38&lt;&gt;"",VLOOKUP($N38,マスタ!$T$4:$W$51,4,FALSE),"")</f>
        <v/>
      </c>
      <c r="R38" s="212" t="str">
        <f>IF($D38&lt;&gt;"",VLOOKUP($D38,選手登録!$N$8:$P$57,3,FALSE),"")</f>
        <v/>
      </c>
      <c r="S38" s="212" t="str">
        <f>IF($R38&lt;&gt;"",VLOOKUP($R38,選手登録!$M$8:$V$57,6,FALSE),"")</f>
        <v/>
      </c>
      <c r="T38" s="212" t="str">
        <f>IF($R38&lt;&gt;"",VLOOKUP($R38,選手登録!$M$8:$V$57,7,FALSE),"")</f>
        <v/>
      </c>
      <c r="U38" s="212" t="str">
        <f>IF($R38&lt;&gt;"",IF(VLOOKUP($R38,選手登録!$M$8:$U$57,9,FALSE)&lt;&gt;"",1,0),"")</f>
        <v/>
      </c>
      <c r="V38" s="212" t="str">
        <f>IF($E38&lt;&gt;"",VLOOKUP($E38,馬匹登録!$L$8:$N$57,3,FALSE),"")</f>
        <v/>
      </c>
      <c r="W38" s="212" t="str">
        <f>IF($V38&lt;&gt;"",IF(VLOOKUP($V38,馬匹登録!$N$8:$O$57,2,FALSE)&lt;&gt;"",1,0),"")</f>
        <v/>
      </c>
      <c r="X38" s="212" t="str">
        <f>IF($V38&lt;&gt;"",IF(VLOOKUP($V38,馬匹登録!$N$8:$Q$57,3,FALSE)&lt;&gt;"",1,0),"")</f>
        <v/>
      </c>
      <c r="Y38" s="212" t="str">
        <f>IF($V38&lt;&gt;"",IF(VLOOKUP($V38,馬匹登録!$N$8:$Q$57,4,FALSE)&lt;&gt;"",1,0),"")</f>
        <v/>
      </c>
      <c r="Z38" s="212" t="str">
        <f>IF($G38&lt;&gt;"",VLOOKUP($G38,リスト!$J$2:$K$5,2,FALSE),"")</f>
        <v/>
      </c>
      <c r="AA38" s="212" t="str">
        <f>IF($E38&lt;&gt;"",IFERROR(VLOOKUP($N38,マスタ!$H$4:$R$51,7+VLOOKUP($G38,リスト!$J$2:$K$5,2,FALSE),FALSE),"-"),"")</f>
        <v/>
      </c>
      <c r="AB38" s="212" t="str">
        <f t="shared" si="5"/>
        <v/>
      </c>
      <c r="AC38" s="212">
        <f>IF($AC$6=1,IFERROR(IF(AND($N38&lt;&gt;"",$R38&lt;&gt;""),IF(VLOOKUP($N38,マスタ!$T$4:$AC$51,4+$S38,FALSE)=0,1,0),0),1),0)</f>
        <v>0</v>
      </c>
      <c r="AD38" s="212">
        <f t="shared" si="6"/>
        <v>0</v>
      </c>
      <c r="AE38" s="212">
        <f>IF($AE$6=1,IFERROR(IF($G38="社馬連",IF(IFERROR(VLOOKUP($F38,リスト!$F$10:$H$51,2,FALSE),2)&lt;&gt;0,1,0),0),1),0)</f>
        <v>0</v>
      </c>
      <c r="AF38" s="212">
        <f t="shared" si="7"/>
        <v>0</v>
      </c>
      <c r="AG38" s="212">
        <f t="shared" si="8"/>
        <v>0</v>
      </c>
      <c r="AH38" s="212">
        <f t="shared" si="9"/>
        <v>0</v>
      </c>
      <c r="AI38" s="212">
        <f t="shared" si="10"/>
        <v>0</v>
      </c>
      <c r="AJ38" s="212">
        <f t="shared" si="11"/>
        <v>0</v>
      </c>
      <c r="AK38" s="212" t="str">
        <f t="shared" si="12"/>
        <v/>
      </c>
      <c r="AL38" s="212">
        <f t="shared" si="13"/>
        <v>0</v>
      </c>
      <c r="AM38" s="212" t="str">
        <f>IFERROR(VLOOKUP($N38,マスタ!$T$4:$AE$51,12,TRUE),"")</f>
        <v/>
      </c>
      <c r="AO38" s="212" t="str">
        <f t="shared" ca="1" si="14"/>
        <v/>
      </c>
      <c r="AP38" s="212" t="str">
        <f t="shared" ca="1" si="15"/>
        <v/>
      </c>
      <c r="AQ38" s="212" t="str">
        <f t="shared" ca="1" si="16"/>
        <v/>
      </c>
      <c r="AR38" s="212" t="str">
        <f t="shared" ca="1" si="0"/>
        <v/>
      </c>
      <c r="AS38" s="212" t="str">
        <f t="shared" ca="1" si="17"/>
        <v/>
      </c>
      <c r="AT38" s="212" t="str">
        <f t="shared" ca="1" si="18"/>
        <v/>
      </c>
      <c r="AU38" s="212" t="str">
        <f t="shared" ca="1" si="19"/>
        <v/>
      </c>
      <c r="AV38" s="212" t="str">
        <f t="shared" ca="1" si="20"/>
        <v/>
      </c>
      <c r="AX38" s="212">
        <f t="shared" si="21"/>
        <v>0</v>
      </c>
      <c r="AY38" s="212">
        <f t="shared" si="22"/>
        <v>31</v>
      </c>
      <c r="AZ38" s="212" t="str">
        <f t="shared" ca="1" si="23"/>
        <v/>
      </c>
      <c r="BA38" s="212" t="str">
        <f t="shared" si="1"/>
        <v/>
      </c>
      <c r="BB38" s="212" t="str">
        <f t="shared" si="24"/>
        <v/>
      </c>
      <c r="BC38" s="212" t="str">
        <f t="shared" ca="1" si="2"/>
        <v/>
      </c>
    </row>
    <row r="39" spans="1:55" ht="24" customHeight="1" x14ac:dyDescent="0.15">
      <c r="A39" s="234">
        <v>32</v>
      </c>
      <c r="B39" s="235" t="str">
        <f>IF($C39&lt;&gt;"",VLOOKUP($N39,マスタ!$H$4:$K$51,3,TRUE),"")</f>
        <v/>
      </c>
      <c r="C39" s="236"/>
      <c r="D39" s="236"/>
      <c r="E39" s="236"/>
      <c r="F39" s="237" t="str">
        <f>IF($R39&lt;&gt;"",IF(VLOOKUP($R39,選手登録!$A$8:$H$57,8,FALSE)&lt;&gt;"",VLOOKUP($R39,選手登録!$A$8:$H$57,8,FALSE),団体登録!$B$7),"")</f>
        <v/>
      </c>
      <c r="G39" s="238"/>
      <c r="H39" s="333" t="str">
        <f t="shared" si="3"/>
        <v/>
      </c>
      <c r="I39" s="239"/>
      <c r="J39" s="233" t="str">
        <f>IF($AC39&gt;0,リスト!$Y$22,IF($AD39=1,リスト!$Y$21,IF($AD39=2,リスト!$Y$23,IF($AE39&gt;0,リスト!$Y$18,IF($AF39&gt;0,リスト!$Y$19,IF($AG39&gt;0,リスト!$Y$20,IF($AH39&gt;0,リスト!$Y$24,IF($AI39&gt;0,リスト!$Y$25,IF($AJ39&gt;0,リスト!$Y$26,"")))))))))</f>
        <v/>
      </c>
      <c r="K39" s="211" t="s">
        <v>149</v>
      </c>
      <c r="M39" s="212">
        <f t="shared" si="4"/>
        <v>32</v>
      </c>
      <c r="N39" s="212" t="str">
        <f>IF($C39&lt;&gt;"",VLOOKUP($C39,マスタ!$L$4:$U$51,9,FALSE),"")</f>
        <v/>
      </c>
      <c r="O39" s="212" t="str">
        <f>IF($C39&lt;&gt;"",VLOOKUP($N39,マスタ!$H$4:$I$51,2,TRUE),"")</f>
        <v/>
      </c>
      <c r="P39" s="212" t="str">
        <f>IF($N39&lt;&gt;"",VLOOKUP($N39,マスタ!$T$4:$W$51,3,FALSE),"")</f>
        <v/>
      </c>
      <c r="Q39" s="212" t="str">
        <f>IF($N39&lt;&gt;"",VLOOKUP($N39,マスタ!$T$4:$W$51,4,FALSE),"")</f>
        <v/>
      </c>
      <c r="R39" s="212" t="str">
        <f>IF($D39&lt;&gt;"",VLOOKUP($D39,選手登録!$N$8:$P$57,3,FALSE),"")</f>
        <v/>
      </c>
      <c r="S39" s="212" t="str">
        <f>IF($R39&lt;&gt;"",VLOOKUP($R39,選手登録!$M$8:$V$57,6,FALSE),"")</f>
        <v/>
      </c>
      <c r="T39" s="212" t="str">
        <f>IF($R39&lt;&gt;"",VLOOKUP($R39,選手登録!$M$8:$V$57,7,FALSE),"")</f>
        <v/>
      </c>
      <c r="U39" s="212" t="str">
        <f>IF($R39&lt;&gt;"",IF(VLOOKUP($R39,選手登録!$M$8:$U$57,9,FALSE)&lt;&gt;"",1,0),"")</f>
        <v/>
      </c>
      <c r="V39" s="212" t="str">
        <f>IF($E39&lt;&gt;"",VLOOKUP($E39,馬匹登録!$L$8:$N$57,3,FALSE),"")</f>
        <v/>
      </c>
      <c r="W39" s="212" t="str">
        <f>IF($V39&lt;&gt;"",IF(VLOOKUP($V39,馬匹登録!$N$8:$O$57,2,FALSE)&lt;&gt;"",1,0),"")</f>
        <v/>
      </c>
      <c r="X39" s="212" t="str">
        <f>IF($V39&lt;&gt;"",IF(VLOOKUP($V39,馬匹登録!$N$8:$Q$57,3,FALSE)&lt;&gt;"",1,0),"")</f>
        <v/>
      </c>
      <c r="Y39" s="212" t="str">
        <f>IF($V39&lt;&gt;"",IF(VLOOKUP($V39,馬匹登録!$N$8:$Q$57,4,FALSE)&lt;&gt;"",1,0),"")</f>
        <v/>
      </c>
      <c r="Z39" s="212" t="str">
        <f>IF($G39&lt;&gt;"",VLOOKUP($G39,リスト!$J$2:$K$5,2,FALSE),"")</f>
        <v/>
      </c>
      <c r="AA39" s="212" t="str">
        <f>IF($E39&lt;&gt;"",IFERROR(VLOOKUP($N39,マスタ!$H$4:$R$51,7+VLOOKUP($G39,リスト!$J$2:$K$5,2,FALSE),FALSE),"-"),"")</f>
        <v/>
      </c>
      <c r="AB39" s="212" t="str">
        <f t="shared" si="5"/>
        <v/>
      </c>
      <c r="AC39" s="212">
        <f>IF($AC$6=1,IFERROR(IF(AND($N39&lt;&gt;"",$R39&lt;&gt;""),IF(VLOOKUP($N39,マスタ!$T$4:$AC$51,4+$S39,FALSE)=0,1,0),0),1),0)</f>
        <v>0</v>
      </c>
      <c r="AD39" s="212">
        <f t="shared" si="6"/>
        <v>0</v>
      </c>
      <c r="AE39" s="212">
        <f>IF($AE$6=1,IFERROR(IF($G39="社馬連",IF(IFERROR(VLOOKUP($F39,リスト!$F$10:$H$51,2,FALSE),2)&lt;&gt;0,1,0),0),1),0)</f>
        <v>0</v>
      </c>
      <c r="AF39" s="212">
        <f t="shared" si="7"/>
        <v>0</v>
      </c>
      <c r="AG39" s="212">
        <f t="shared" si="8"/>
        <v>0</v>
      </c>
      <c r="AH39" s="212">
        <f t="shared" si="9"/>
        <v>0</v>
      </c>
      <c r="AI39" s="212">
        <f t="shared" si="10"/>
        <v>0</v>
      </c>
      <c r="AJ39" s="212">
        <f t="shared" si="11"/>
        <v>0</v>
      </c>
      <c r="AK39" s="212" t="str">
        <f t="shared" si="12"/>
        <v/>
      </c>
      <c r="AL39" s="212">
        <f t="shared" si="13"/>
        <v>0</v>
      </c>
      <c r="AM39" s="212" t="str">
        <f>IFERROR(VLOOKUP($N39,マスタ!$T$4:$AE$51,12,TRUE),"")</f>
        <v/>
      </c>
      <c r="AO39" s="212" t="str">
        <f t="shared" ca="1" si="14"/>
        <v/>
      </c>
      <c r="AP39" s="212" t="str">
        <f t="shared" ca="1" si="15"/>
        <v/>
      </c>
      <c r="AQ39" s="212" t="str">
        <f t="shared" ca="1" si="16"/>
        <v/>
      </c>
      <c r="AR39" s="212" t="str">
        <f t="shared" ca="1" si="0"/>
        <v/>
      </c>
      <c r="AS39" s="212" t="str">
        <f t="shared" ca="1" si="17"/>
        <v/>
      </c>
      <c r="AT39" s="212" t="str">
        <f t="shared" ca="1" si="18"/>
        <v/>
      </c>
      <c r="AU39" s="212" t="str">
        <f t="shared" ca="1" si="19"/>
        <v/>
      </c>
      <c r="AV39" s="212" t="str">
        <f t="shared" ca="1" si="20"/>
        <v/>
      </c>
      <c r="AX39" s="212">
        <f t="shared" si="21"/>
        <v>0</v>
      </c>
      <c r="AY39" s="212">
        <f t="shared" si="22"/>
        <v>32</v>
      </c>
      <c r="AZ39" s="212" t="str">
        <f t="shared" ca="1" si="23"/>
        <v/>
      </c>
      <c r="BA39" s="212" t="str">
        <f t="shared" si="1"/>
        <v/>
      </c>
      <c r="BB39" s="212" t="str">
        <f t="shared" si="24"/>
        <v/>
      </c>
      <c r="BC39" s="212" t="str">
        <f t="shared" ca="1" si="2"/>
        <v/>
      </c>
    </row>
    <row r="40" spans="1:55" ht="24" customHeight="1" x14ac:dyDescent="0.15">
      <c r="A40" s="234">
        <v>33</v>
      </c>
      <c r="B40" s="235" t="str">
        <f>IF($C40&lt;&gt;"",VLOOKUP($N40,マスタ!$H$4:$K$51,3,TRUE),"")</f>
        <v/>
      </c>
      <c r="C40" s="236"/>
      <c r="D40" s="236"/>
      <c r="E40" s="236"/>
      <c r="F40" s="237" t="str">
        <f>IF($R40&lt;&gt;"",IF(VLOOKUP($R40,選手登録!$A$8:$H$57,8,FALSE)&lt;&gt;"",VLOOKUP($R40,選手登録!$A$8:$H$57,8,FALSE),団体登録!$B$7),"")</f>
        <v/>
      </c>
      <c r="G40" s="238"/>
      <c r="H40" s="333" t="str">
        <f t="shared" si="3"/>
        <v/>
      </c>
      <c r="I40" s="239"/>
      <c r="J40" s="233" t="str">
        <f>IF($AC40&gt;0,リスト!$Y$22,IF($AD40=1,リスト!$Y$21,IF($AD40=2,リスト!$Y$23,IF($AE40&gt;0,リスト!$Y$18,IF($AF40&gt;0,リスト!$Y$19,IF($AG40&gt;0,リスト!$Y$20,IF($AH40&gt;0,リスト!$Y$24,IF($AI40&gt;0,リスト!$Y$25,IF($AJ40&gt;0,リスト!$Y$26,"")))))))))</f>
        <v/>
      </c>
      <c r="K40" s="211" t="s">
        <v>149</v>
      </c>
      <c r="M40" s="212">
        <f t="shared" si="4"/>
        <v>33</v>
      </c>
      <c r="N40" s="212" t="str">
        <f>IF($C40&lt;&gt;"",VLOOKUP($C40,マスタ!$L$4:$U$51,9,FALSE),"")</f>
        <v/>
      </c>
      <c r="O40" s="212" t="str">
        <f>IF($C40&lt;&gt;"",VLOOKUP($N40,マスタ!$H$4:$I$51,2,TRUE),"")</f>
        <v/>
      </c>
      <c r="P40" s="212" t="str">
        <f>IF($N40&lt;&gt;"",VLOOKUP($N40,マスタ!$T$4:$W$51,3,FALSE),"")</f>
        <v/>
      </c>
      <c r="Q40" s="212" t="str">
        <f>IF($N40&lt;&gt;"",VLOOKUP($N40,マスタ!$T$4:$W$51,4,FALSE),"")</f>
        <v/>
      </c>
      <c r="R40" s="212" t="str">
        <f>IF($D40&lt;&gt;"",VLOOKUP($D40,選手登録!$N$8:$P$57,3,FALSE),"")</f>
        <v/>
      </c>
      <c r="S40" s="212" t="str">
        <f>IF($R40&lt;&gt;"",VLOOKUP($R40,選手登録!$M$8:$V$57,6,FALSE),"")</f>
        <v/>
      </c>
      <c r="T40" s="212" t="str">
        <f>IF($R40&lt;&gt;"",VLOOKUP($R40,選手登録!$M$8:$V$57,7,FALSE),"")</f>
        <v/>
      </c>
      <c r="U40" s="212" t="str">
        <f>IF($R40&lt;&gt;"",IF(VLOOKUP($R40,選手登録!$M$8:$U$57,9,FALSE)&lt;&gt;"",1,0),"")</f>
        <v/>
      </c>
      <c r="V40" s="212" t="str">
        <f>IF($E40&lt;&gt;"",VLOOKUP($E40,馬匹登録!$L$8:$N$57,3,FALSE),"")</f>
        <v/>
      </c>
      <c r="W40" s="212" t="str">
        <f>IF($V40&lt;&gt;"",IF(VLOOKUP($V40,馬匹登録!$N$8:$O$57,2,FALSE)&lt;&gt;"",1,0),"")</f>
        <v/>
      </c>
      <c r="X40" s="212" t="str">
        <f>IF($V40&lt;&gt;"",IF(VLOOKUP($V40,馬匹登録!$N$8:$Q$57,3,FALSE)&lt;&gt;"",1,0),"")</f>
        <v/>
      </c>
      <c r="Y40" s="212" t="str">
        <f>IF($V40&lt;&gt;"",IF(VLOOKUP($V40,馬匹登録!$N$8:$Q$57,4,FALSE)&lt;&gt;"",1,0),"")</f>
        <v/>
      </c>
      <c r="Z40" s="212" t="str">
        <f>IF($G40&lt;&gt;"",VLOOKUP($G40,リスト!$J$2:$K$5,2,FALSE),"")</f>
        <v/>
      </c>
      <c r="AA40" s="212" t="str">
        <f>IF($E40&lt;&gt;"",IFERROR(VLOOKUP($N40,マスタ!$H$4:$R$51,7+VLOOKUP($G40,リスト!$J$2:$K$5,2,FALSE),FALSE),"-"),"")</f>
        <v/>
      </c>
      <c r="AB40" s="212" t="str">
        <f t="shared" si="5"/>
        <v/>
      </c>
      <c r="AC40" s="212">
        <f>IF($AC$6=1,IFERROR(IF(AND($N40&lt;&gt;"",$R40&lt;&gt;""),IF(VLOOKUP($N40,マスタ!$T$4:$AC$51,4+$S40,FALSE)=0,1,0),0),1),0)</f>
        <v>0</v>
      </c>
      <c r="AD40" s="212">
        <f t="shared" si="6"/>
        <v>0</v>
      </c>
      <c r="AE40" s="212">
        <f>IF($AE$6=1,IFERROR(IF($G40="社馬連",IF(IFERROR(VLOOKUP($F40,リスト!$F$10:$H$51,2,FALSE),2)&lt;&gt;0,1,0),0),1),0)</f>
        <v>0</v>
      </c>
      <c r="AF40" s="212">
        <f t="shared" si="7"/>
        <v>0</v>
      </c>
      <c r="AG40" s="212">
        <f t="shared" si="8"/>
        <v>0</v>
      </c>
      <c r="AH40" s="212">
        <f t="shared" si="9"/>
        <v>0</v>
      </c>
      <c r="AI40" s="212">
        <f t="shared" si="10"/>
        <v>0</v>
      </c>
      <c r="AJ40" s="212">
        <f t="shared" si="11"/>
        <v>0</v>
      </c>
      <c r="AK40" s="212" t="str">
        <f t="shared" si="12"/>
        <v/>
      </c>
      <c r="AL40" s="212">
        <f t="shared" si="13"/>
        <v>0</v>
      </c>
      <c r="AM40" s="212" t="str">
        <f>IFERROR(VLOOKUP($N40,マスタ!$T$4:$AE$51,12,TRUE),"")</f>
        <v/>
      </c>
      <c r="AO40" s="212" t="str">
        <f t="shared" ca="1" si="14"/>
        <v/>
      </c>
      <c r="AP40" s="212" t="str">
        <f t="shared" ca="1" si="15"/>
        <v/>
      </c>
      <c r="AQ40" s="212" t="str">
        <f t="shared" ca="1" si="16"/>
        <v/>
      </c>
      <c r="AR40" s="212" t="str">
        <f t="shared" ca="1" si="0"/>
        <v/>
      </c>
      <c r="AS40" s="212" t="str">
        <f t="shared" ca="1" si="17"/>
        <v/>
      </c>
      <c r="AT40" s="212" t="str">
        <f t="shared" ca="1" si="18"/>
        <v/>
      </c>
      <c r="AU40" s="212" t="str">
        <f t="shared" ca="1" si="19"/>
        <v/>
      </c>
      <c r="AV40" s="212" t="str">
        <f t="shared" ca="1" si="20"/>
        <v/>
      </c>
      <c r="AX40" s="212">
        <f t="shared" si="21"/>
        <v>0</v>
      </c>
      <c r="AY40" s="212">
        <f t="shared" si="22"/>
        <v>33</v>
      </c>
      <c r="AZ40" s="212" t="str">
        <f t="shared" ca="1" si="23"/>
        <v/>
      </c>
      <c r="BA40" s="212" t="str">
        <f t="shared" ref="BA40:BA71" si="25">IF($BB40&lt;&gt;"",TEXT(VLOOKUP($BB40,$M$8:$O$107,2),"000")&amp;TEXT($BB40,"-000"),"")</f>
        <v/>
      </c>
      <c r="BB40" s="212" t="str">
        <f t="shared" si="24"/>
        <v/>
      </c>
      <c r="BC40" s="212" t="str">
        <f t="shared" ref="BC40:BC71" ca="1" si="26">IF($BB40&lt;&gt;"",VLOOKUP(SMALL(INDIRECT($BA$1),ROW($C33)),INDIRECT($BA$2),3,FALSE),"")</f>
        <v/>
      </c>
    </row>
    <row r="41" spans="1:55" ht="24" customHeight="1" x14ac:dyDescent="0.15">
      <c r="A41" s="234">
        <v>34</v>
      </c>
      <c r="B41" s="235" t="str">
        <f>IF($C41&lt;&gt;"",VLOOKUP($N41,マスタ!$H$4:$K$51,3,TRUE),"")</f>
        <v/>
      </c>
      <c r="C41" s="236"/>
      <c r="D41" s="236"/>
      <c r="E41" s="236"/>
      <c r="F41" s="237" t="str">
        <f>IF($R41&lt;&gt;"",IF(VLOOKUP($R41,選手登録!$A$8:$H$57,8,FALSE)&lt;&gt;"",VLOOKUP($R41,選手登録!$A$8:$H$57,8,FALSE),団体登録!$B$7),"")</f>
        <v/>
      </c>
      <c r="G41" s="238"/>
      <c r="H41" s="333" t="str">
        <f t="shared" si="3"/>
        <v/>
      </c>
      <c r="I41" s="239"/>
      <c r="J41" s="233" t="str">
        <f>IF($AC41&gt;0,リスト!$Y$22,IF($AD41=1,リスト!$Y$21,IF($AD41=2,リスト!$Y$23,IF($AE41&gt;0,リスト!$Y$18,IF($AF41&gt;0,リスト!$Y$19,IF($AG41&gt;0,リスト!$Y$20,IF($AH41&gt;0,リスト!$Y$24,IF($AI41&gt;0,リスト!$Y$25,IF($AJ41&gt;0,リスト!$Y$26,"")))))))))</f>
        <v/>
      </c>
      <c r="K41" s="211" t="s">
        <v>149</v>
      </c>
      <c r="M41" s="212">
        <f t="shared" si="4"/>
        <v>34</v>
      </c>
      <c r="N41" s="212" t="str">
        <f>IF($C41&lt;&gt;"",VLOOKUP($C41,マスタ!$L$4:$U$51,9,FALSE),"")</f>
        <v/>
      </c>
      <c r="O41" s="212" t="str">
        <f>IF($C41&lt;&gt;"",VLOOKUP($N41,マスタ!$H$4:$I$51,2,TRUE),"")</f>
        <v/>
      </c>
      <c r="P41" s="212" t="str">
        <f>IF($N41&lt;&gt;"",VLOOKUP($N41,マスタ!$T$4:$W$51,3,FALSE),"")</f>
        <v/>
      </c>
      <c r="Q41" s="212" t="str">
        <f>IF($N41&lt;&gt;"",VLOOKUP($N41,マスタ!$T$4:$W$51,4,FALSE),"")</f>
        <v/>
      </c>
      <c r="R41" s="212" t="str">
        <f>IF($D41&lt;&gt;"",VLOOKUP($D41,選手登録!$N$8:$P$57,3,FALSE),"")</f>
        <v/>
      </c>
      <c r="S41" s="212" t="str">
        <f>IF($R41&lt;&gt;"",VLOOKUP($R41,選手登録!$M$8:$V$57,6,FALSE),"")</f>
        <v/>
      </c>
      <c r="T41" s="212" t="str">
        <f>IF($R41&lt;&gt;"",VLOOKUP($R41,選手登録!$M$8:$V$57,7,FALSE),"")</f>
        <v/>
      </c>
      <c r="U41" s="212" t="str">
        <f>IF($R41&lt;&gt;"",IF(VLOOKUP($R41,選手登録!$M$8:$U$57,9,FALSE)&lt;&gt;"",1,0),"")</f>
        <v/>
      </c>
      <c r="V41" s="212" t="str">
        <f>IF($E41&lt;&gt;"",VLOOKUP($E41,馬匹登録!$L$8:$N$57,3,FALSE),"")</f>
        <v/>
      </c>
      <c r="W41" s="212" t="str">
        <f>IF($V41&lt;&gt;"",IF(VLOOKUP($V41,馬匹登録!$N$8:$O$57,2,FALSE)&lt;&gt;"",1,0),"")</f>
        <v/>
      </c>
      <c r="X41" s="212" t="str">
        <f>IF($V41&lt;&gt;"",IF(VLOOKUP($V41,馬匹登録!$N$8:$Q$57,3,FALSE)&lt;&gt;"",1,0),"")</f>
        <v/>
      </c>
      <c r="Y41" s="212" t="str">
        <f>IF($V41&lt;&gt;"",IF(VLOOKUP($V41,馬匹登録!$N$8:$Q$57,4,FALSE)&lt;&gt;"",1,0),"")</f>
        <v/>
      </c>
      <c r="Z41" s="212" t="str">
        <f>IF($G41&lt;&gt;"",VLOOKUP($G41,リスト!$J$2:$K$5,2,FALSE),"")</f>
        <v/>
      </c>
      <c r="AA41" s="212" t="str">
        <f>IF($E41&lt;&gt;"",IFERROR(VLOOKUP($N41,マスタ!$H$4:$R$51,7+VLOOKUP($G41,リスト!$J$2:$K$5,2,FALSE),FALSE),"-"),"")</f>
        <v/>
      </c>
      <c r="AB41" s="212" t="str">
        <f t="shared" si="5"/>
        <v/>
      </c>
      <c r="AC41" s="212">
        <f>IF($AC$6=1,IFERROR(IF(AND($N41&lt;&gt;"",$R41&lt;&gt;""),IF(VLOOKUP($N41,マスタ!$T$4:$AC$51,4+$S41,FALSE)=0,1,0),0),1),0)</f>
        <v>0</v>
      </c>
      <c r="AD41" s="212">
        <f t="shared" si="6"/>
        <v>0</v>
      </c>
      <c r="AE41" s="212">
        <f>IF($AE$6=1,IFERROR(IF($G41="社馬連",IF(IFERROR(VLOOKUP($F41,リスト!$F$10:$H$51,2,FALSE),2)&lt;&gt;0,1,0),0),1),0)</f>
        <v>0</v>
      </c>
      <c r="AF41" s="212">
        <f t="shared" si="7"/>
        <v>0</v>
      </c>
      <c r="AG41" s="212">
        <f t="shared" si="8"/>
        <v>0</v>
      </c>
      <c r="AH41" s="212">
        <f t="shared" si="9"/>
        <v>0</v>
      </c>
      <c r="AI41" s="212">
        <f t="shared" si="10"/>
        <v>0</v>
      </c>
      <c r="AJ41" s="212">
        <f t="shared" si="11"/>
        <v>0</v>
      </c>
      <c r="AK41" s="212" t="str">
        <f t="shared" si="12"/>
        <v/>
      </c>
      <c r="AL41" s="212">
        <f t="shared" si="13"/>
        <v>0</v>
      </c>
      <c r="AM41" s="212" t="str">
        <f>IFERROR(VLOOKUP($N41,マスタ!$T$4:$AE$51,12,TRUE),"")</f>
        <v/>
      </c>
      <c r="AO41" s="212" t="str">
        <f t="shared" ca="1" si="14"/>
        <v/>
      </c>
      <c r="AP41" s="212" t="str">
        <f t="shared" ca="1" si="15"/>
        <v/>
      </c>
      <c r="AQ41" s="212" t="str">
        <f t="shared" ca="1" si="16"/>
        <v/>
      </c>
      <c r="AR41" s="212" t="str">
        <f t="shared" ca="1" si="0"/>
        <v/>
      </c>
      <c r="AS41" s="212" t="str">
        <f t="shared" ca="1" si="17"/>
        <v/>
      </c>
      <c r="AT41" s="212" t="str">
        <f t="shared" ca="1" si="18"/>
        <v/>
      </c>
      <c r="AU41" s="212" t="str">
        <f t="shared" ca="1" si="19"/>
        <v/>
      </c>
      <c r="AV41" s="212" t="str">
        <f t="shared" ca="1" si="20"/>
        <v/>
      </c>
      <c r="AX41" s="212">
        <f t="shared" ref="AX41:AX72" si="27">IF($N41&lt;&gt;"",$AX40+1,$AX40)</f>
        <v>0</v>
      </c>
      <c r="AY41" s="212">
        <f t="shared" si="22"/>
        <v>34</v>
      </c>
      <c r="AZ41" s="212" t="str">
        <f t="shared" ca="1" si="23"/>
        <v/>
      </c>
      <c r="BA41" s="212" t="str">
        <f t="shared" si="25"/>
        <v/>
      </c>
      <c r="BB41" s="212" t="str">
        <f t="shared" si="24"/>
        <v/>
      </c>
      <c r="BC41" s="212" t="str">
        <f t="shared" ca="1" si="26"/>
        <v/>
      </c>
    </row>
    <row r="42" spans="1:55" ht="24" customHeight="1" x14ac:dyDescent="0.15">
      <c r="A42" s="234">
        <v>35</v>
      </c>
      <c r="B42" s="235" t="str">
        <f>IF($C42&lt;&gt;"",VLOOKUP($N42,マスタ!$H$4:$K$51,3,TRUE),"")</f>
        <v/>
      </c>
      <c r="C42" s="236"/>
      <c r="D42" s="236"/>
      <c r="E42" s="236"/>
      <c r="F42" s="237" t="str">
        <f>IF($R42&lt;&gt;"",IF(VLOOKUP($R42,選手登録!$A$8:$H$57,8,FALSE)&lt;&gt;"",VLOOKUP($R42,選手登録!$A$8:$H$57,8,FALSE),団体登録!$B$7),"")</f>
        <v/>
      </c>
      <c r="G42" s="238"/>
      <c r="H42" s="333" t="str">
        <f t="shared" si="3"/>
        <v/>
      </c>
      <c r="I42" s="239"/>
      <c r="J42" s="233" t="str">
        <f>IF($AC42&gt;0,リスト!$Y$22,IF($AD42=1,リスト!$Y$21,IF($AD42=2,リスト!$Y$23,IF($AE42&gt;0,リスト!$Y$18,IF($AF42&gt;0,リスト!$Y$19,IF($AG42&gt;0,リスト!$Y$20,IF($AH42&gt;0,リスト!$Y$24,IF($AI42&gt;0,リスト!$Y$25,IF($AJ42&gt;0,リスト!$Y$26,"")))))))))</f>
        <v/>
      </c>
      <c r="K42" s="211" t="s">
        <v>149</v>
      </c>
      <c r="M42" s="212">
        <f t="shared" si="4"/>
        <v>35</v>
      </c>
      <c r="N42" s="212" t="str">
        <f>IF($C42&lt;&gt;"",VLOOKUP($C42,マスタ!$L$4:$U$51,9,FALSE),"")</f>
        <v/>
      </c>
      <c r="O42" s="212" t="str">
        <f>IF($C42&lt;&gt;"",VLOOKUP($N42,マスタ!$H$4:$I$51,2,TRUE),"")</f>
        <v/>
      </c>
      <c r="P42" s="212" t="str">
        <f>IF($N42&lt;&gt;"",VLOOKUP($N42,マスタ!$T$4:$W$51,3,FALSE),"")</f>
        <v/>
      </c>
      <c r="Q42" s="212" t="str">
        <f>IF($N42&lt;&gt;"",VLOOKUP($N42,マスタ!$T$4:$W$51,4,FALSE),"")</f>
        <v/>
      </c>
      <c r="R42" s="212" t="str">
        <f>IF($D42&lt;&gt;"",VLOOKUP($D42,選手登録!$N$8:$P$57,3,FALSE),"")</f>
        <v/>
      </c>
      <c r="S42" s="212" t="str">
        <f>IF($R42&lt;&gt;"",VLOOKUP($R42,選手登録!$M$8:$V$57,6,FALSE),"")</f>
        <v/>
      </c>
      <c r="T42" s="212" t="str">
        <f>IF($R42&lt;&gt;"",VLOOKUP($R42,選手登録!$M$8:$V$57,7,FALSE),"")</f>
        <v/>
      </c>
      <c r="U42" s="212" t="str">
        <f>IF($R42&lt;&gt;"",IF(VLOOKUP($R42,選手登録!$M$8:$U$57,9,FALSE)&lt;&gt;"",1,0),"")</f>
        <v/>
      </c>
      <c r="V42" s="212" t="str">
        <f>IF($E42&lt;&gt;"",VLOOKUP($E42,馬匹登録!$L$8:$N$57,3,FALSE),"")</f>
        <v/>
      </c>
      <c r="W42" s="212" t="str">
        <f>IF($V42&lt;&gt;"",IF(VLOOKUP($V42,馬匹登録!$N$8:$O$57,2,FALSE)&lt;&gt;"",1,0),"")</f>
        <v/>
      </c>
      <c r="X42" s="212" t="str">
        <f>IF($V42&lt;&gt;"",IF(VLOOKUP($V42,馬匹登録!$N$8:$Q$57,3,FALSE)&lt;&gt;"",1,0),"")</f>
        <v/>
      </c>
      <c r="Y42" s="212" t="str">
        <f>IF($V42&lt;&gt;"",IF(VLOOKUP($V42,馬匹登録!$N$8:$Q$57,4,FALSE)&lt;&gt;"",1,0),"")</f>
        <v/>
      </c>
      <c r="Z42" s="212" t="str">
        <f>IF($G42&lt;&gt;"",VLOOKUP($G42,リスト!$J$2:$K$5,2,FALSE),"")</f>
        <v/>
      </c>
      <c r="AA42" s="212" t="str">
        <f>IF($E42&lt;&gt;"",IFERROR(VLOOKUP($N42,マスタ!$H$4:$R$51,7+VLOOKUP($G42,リスト!$J$2:$K$5,2,FALSE),FALSE),"-"),"")</f>
        <v/>
      </c>
      <c r="AB42" s="212" t="str">
        <f t="shared" si="5"/>
        <v/>
      </c>
      <c r="AC42" s="212">
        <f>IF($AC$6=1,IFERROR(IF(AND($N42&lt;&gt;"",$R42&lt;&gt;""),IF(VLOOKUP($N42,マスタ!$T$4:$AC$51,4+$S42,FALSE)=0,1,0),0),1),0)</f>
        <v>0</v>
      </c>
      <c r="AD42" s="212">
        <f t="shared" si="6"/>
        <v>0</v>
      </c>
      <c r="AE42" s="212">
        <f>IF($AE$6=1,IFERROR(IF($G42="社馬連",IF(IFERROR(VLOOKUP($F42,リスト!$F$10:$H$51,2,FALSE),2)&lt;&gt;0,1,0),0),1),0)</f>
        <v>0</v>
      </c>
      <c r="AF42" s="212">
        <f t="shared" si="7"/>
        <v>0</v>
      </c>
      <c r="AG42" s="212">
        <f t="shared" si="8"/>
        <v>0</v>
      </c>
      <c r="AH42" s="212">
        <f t="shared" si="9"/>
        <v>0</v>
      </c>
      <c r="AI42" s="212">
        <f t="shared" si="10"/>
        <v>0</v>
      </c>
      <c r="AJ42" s="212">
        <f t="shared" si="11"/>
        <v>0</v>
      </c>
      <c r="AK42" s="212" t="str">
        <f t="shared" si="12"/>
        <v/>
      </c>
      <c r="AL42" s="212">
        <f t="shared" si="13"/>
        <v>0</v>
      </c>
      <c r="AM42" s="212" t="str">
        <f>IFERROR(VLOOKUP($N42,マスタ!$T$4:$AE$51,12,TRUE),"")</f>
        <v/>
      </c>
      <c r="AO42" s="212" t="str">
        <f t="shared" ca="1" si="14"/>
        <v/>
      </c>
      <c r="AP42" s="212" t="str">
        <f t="shared" ca="1" si="15"/>
        <v/>
      </c>
      <c r="AQ42" s="212" t="str">
        <f t="shared" ca="1" si="16"/>
        <v/>
      </c>
      <c r="AR42" s="212" t="str">
        <f t="shared" ca="1" si="0"/>
        <v/>
      </c>
      <c r="AS42" s="212" t="str">
        <f t="shared" ca="1" si="17"/>
        <v/>
      </c>
      <c r="AT42" s="212" t="str">
        <f t="shared" ca="1" si="18"/>
        <v/>
      </c>
      <c r="AU42" s="212" t="str">
        <f t="shared" ca="1" si="19"/>
        <v/>
      </c>
      <c r="AV42" s="212" t="str">
        <f t="shared" ca="1" si="20"/>
        <v/>
      </c>
      <c r="AX42" s="212">
        <f t="shared" si="27"/>
        <v>0</v>
      </c>
      <c r="AY42" s="212">
        <f t="shared" si="22"/>
        <v>35</v>
      </c>
      <c r="AZ42" s="212" t="str">
        <f t="shared" ca="1" si="23"/>
        <v/>
      </c>
      <c r="BA42" s="212" t="str">
        <f t="shared" si="25"/>
        <v/>
      </c>
      <c r="BB42" s="212" t="str">
        <f t="shared" si="24"/>
        <v/>
      </c>
      <c r="BC42" s="212" t="str">
        <f t="shared" ca="1" si="26"/>
        <v/>
      </c>
    </row>
    <row r="43" spans="1:55" ht="24" customHeight="1" x14ac:dyDescent="0.15">
      <c r="A43" s="234">
        <v>36</v>
      </c>
      <c r="B43" s="235" t="str">
        <f>IF($C43&lt;&gt;"",VLOOKUP($N43,マスタ!$H$4:$K$51,3,TRUE),"")</f>
        <v/>
      </c>
      <c r="C43" s="236"/>
      <c r="D43" s="236"/>
      <c r="E43" s="236"/>
      <c r="F43" s="237" t="str">
        <f>IF($R43&lt;&gt;"",IF(VLOOKUP($R43,選手登録!$A$8:$H$57,8,FALSE)&lt;&gt;"",VLOOKUP($R43,選手登録!$A$8:$H$57,8,FALSE),団体登録!$B$7),"")</f>
        <v/>
      </c>
      <c r="G43" s="238"/>
      <c r="H43" s="333" t="str">
        <f t="shared" si="3"/>
        <v/>
      </c>
      <c r="I43" s="239"/>
      <c r="J43" s="233" t="str">
        <f>IF($AC43&gt;0,リスト!$Y$22,IF($AD43=1,リスト!$Y$21,IF($AD43=2,リスト!$Y$23,IF($AE43&gt;0,リスト!$Y$18,IF($AF43&gt;0,リスト!$Y$19,IF($AG43&gt;0,リスト!$Y$20,IF($AH43&gt;0,リスト!$Y$24,IF($AI43&gt;0,リスト!$Y$25,IF($AJ43&gt;0,リスト!$Y$26,"")))))))))</f>
        <v/>
      </c>
      <c r="K43" s="211" t="s">
        <v>149</v>
      </c>
      <c r="M43" s="212">
        <f t="shared" si="4"/>
        <v>36</v>
      </c>
      <c r="N43" s="212" t="str">
        <f>IF($C43&lt;&gt;"",VLOOKUP($C43,マスタ!$L$4:$U$51,9,FALSE),"")</f>
        <v/>
      </c>
      <c r="O43" s="212" t="str">
        <f>IF($C43&lt;&gt;"",VLOOKUP($N43,マスタ!$H$4:$I$51,2,TRUE),"")</f>
        <v/>
      </c>
      <c r="P43" s="212" t="str">
        <f>IF($N43&lt;&gt;"",VLOOKUP($N43,マスタ!$T$4:$W$51,3,FALSE),"")</f>
        <v/>
      </c>
      <c r="Q43" s="212" t="str">
        <f>IF($N43&lt;&gt;"",VLOOKUP($N43,マスタ!$T$4:$W$51,4,FALSE),"")</f>
        <v/>
      </c>
      <c r="R43" s="212" t="str">
        <f>IF($D43&lt;&gt;"",VLOOKUP($D43,選手登録!$N$8:$P$57,3,FALSE),"")</f>
        <v/>
      </c>
      <c r="S43" s="212" t="str">
        <f>IF($R43&lt;&gt;"",VLOOKUP($R43,選手登録!$M$8:$V$57,6,FALSE),"")</f>
        <v/>
      </c>
      <c r="T43" s="212" t="str">
        <f>IF($R43&lt;&gt;"",VLOOKUP($R43,選手登録!$M$8:$V$57,7,FALSE),"")</f>
        <v/>
      </c>
      <c r="U43" s="212" t="str">
        <f>IF($R43&lt;&gt;"",IF(VLOOKUP($R43,選手登録!$M$8:$U$57,9,FALSE)&lt;&gt;"",1,0),"")</f>
        <v/>
      </c>
      <c r="V43" s="212" t="str">
        <f>IF($E43&lt;&gt;"",VLOOKUP($E43,馬匹登録!$L$8:$N$57,3,FALSE),"")</f>
        <v/>
      </c>
      <c r="W43" s="212" t="str">
        <f>IF($V43&lt;&gt;"",IF(VLOOKUP($V43,馬匹登録!$N$8:$O$57,2,FALSE)&lt;&gt;"",1,0),"")</f>
        <v/>
      </c>
      <c r="X43" s="212" t="str">
        <f>IF($V43&lt;&gt;"",IF(VLOOKUP($V43,馬匹登録!$N$8:$Q$57,3,FALSE)&lt;&gt;"",1,0),"")</f>
        <v/>
      </c>
      <c r="Y43" s="212" t="str">
        <f>IF($V43&lt;&gt;"",IF(VLOOKUP($V43,馬匹登録!$N$8:$Q$57,4,FALSE)&lt;&gt;"",1,0),"")</f>
        <v/>
      </c>
      <c r="Z43" s="212" t="str">
        <f>IF($G43&lt;&gt;"",VLOOKUP($G43,リスト!$J$2:$K$5,2,FALSE),"")</f>
        <v/>
      </c>
      <c r="AA43" s="212" t="str">
        <f>IF($E43&lt;&gt;"",IFERROR(VLOOKUP($N43,マスタ!$H$4:$R$51,7+VLOOKUP($G43,リスト!$J$2:$K$5,2,FALSE),FALSE),"-"),"")</f>
        <v/>
      </c>
      <c r="AB43" s="212" t="str">
        <f t="shared" si="5"/>
        <v/>
      </c>
      <c r="AC43" s="212">
        <f>IF($AC$6=1,IFERROR(IF(AND($N43&lt;&gt;"",$R43&lt;&gt;""),IF(VLOOKUP($N43,マスタ!$T$4:$AC$51,4+$S43,FALSE)=0,1,0),0),1),0)</f>
        <v>0</v>
      </c>
      <c r="AD43" s="212">
        <f t="shared" si="6"/>
        <v>0</v>
      </c>
      <c r="AE43" s="212">
        <f>IF($AE$6=1,IFERROR(IF($G43="社馬連",IF(IFERROR(VLOOKUP($F43,リスト!$F$10:$H$51,2,FALSE),2)&lt;&gt;0,1,0),0),1),0)</f>
        <v>0</v>
      </c>
      <c r="AF43" s="212">
        <f t="shared" si="7"/>
        <v>0</v>
      </c>
      <c r="AG43" s="212">
        <f t="shared" si="8"/>
        <v>0</v>
      </c>
      <c r="AH43" s="212">
        <f t="shared" si="9"/>
        <v>0</v>
      </c>
      <c r="AI43" s="212">
        <f t="shared" si="10"/>
        <v>0</v>
      </c>
      <c r="AJ43" s="212">
        <f t="shared" si="11"/>
        <v>0</v>
      </c>
      <c r="AK43" s="212" t="str">
        <f t="shared" si="12"/>
        <v/>
      </c>
      <c r="AL43" s="212">
        <f t="shared" si="13"/>
        <v>0</v>
      </c>
      <c r="AM43" s="212" t="str">
        <f>IFERROR(VLOOKUP($N43,マスタ!$T$4:$AE$51,12,TRUE),"")</f>
        <v/>
      </c>
      <c r="AO43" s="212" t="str">
        <f t="shared" ca="1" si="14"/>
        <v/>
      </c>
      <c r="AP43" s="212" t="str">
        <f t="shared" ca="1" si="15"/>
        <v/>
      </c>
      <c r="AQ43" s="212" t="str">
        <f t="shared" ca="1" si="16"/>
        <v/>
      </c>
      <c r="AR43" s="212" t="str">
        <f t="shared" ca="1" si="0"/>
        <v/>
      </c>
      <c r="AS43" s="212" t="str">
        <f t="shared" ca="1" si="17"/>
        <v/>
      </c>
      <c r="AT43" s="212" t="str">
        <f t="shared" ca="1" si="18"/>
        <v/>
      </c>
      <c r="AU43" s="212" t="str">
        <f t="shared" ca="1" si="19"/>
        <v/>
      </c>
      <c r="AV43" s="212" t="str">
        <f t="shared" ca="1" si="20"/>
        <v/>
      </c>
      <c r="AX43" s="212">
        <f t="shared" si="27"/>
        <v>0</v>
      </c>
      <c r="AY43" s="212">
        <f t="shared" si="22"/>
        <v>36</v>
      </c>
      <c r="AZ43" s="212" t="str">
        <f t="shared" ca="1" si="23"/>
        <v/>
      </c>
      <c r="BA43" s="212" t="str">
        <f t="shared" si="25"/>
        <v/>
      </c>
      <c r="BB43" s="212" t="str">
        <f t="shared" si="24"/>
        <v/>
      </c>
      <c r="BC43" s="212" t="str">
        <f t="shared" ca="1" si="26"/>
        <v/>
      </c>
    </row>
    <row r="44" spans="1:55" ht="24" customHeight="1" x14ac:dyDescent="0.15">
      <c r="A44" s="234">
        <v>37</v>
      </c>
      <c r="B44" s="235" t="str">
        <f>IF($C44&lt;&gt;"",VLOOKUP($N44,マスタ!$H$4:$K$51,3,TRUE),"")</f>
        <v/>
      </c>
      <c r="C44" s="236"/>
      <c r="D44" s="236"/>
      <c r="E44" s="236"/>
      <c r="F44" s="237" t="str">
        <f>IF($R44&lt;&gt;"",IF(VLOOKUP($R44,選手登録!$A$8:$H$57,8,FALSE)&lt;&gt;"",VLOOKUP($R44,選手登録!$A$8:$H$57,8,FALSE),団体登録!$B$7),"")</f>
        <v/>
      </c>
      <c r="G44" s="238"/>
      <c r="H44" s="333" t="str">
        <f t="shared" si="3"/>
        <v/>
      </c>
      <c r="I44" s="239"/>
      <c r="J44" s="233" t="str">
        <f>IF($AC44&gt;0,リスト!$Y$22,IF($AD44=1,リスト!$Y$21,IF($AD44=2,リスト!$Y$23,IF($AE44&gt;0,リスト!$Y$18,IF($AF44&gt;0,リスト!$Y$19,IF($AG44&gt;0,リスト!$Y$20,IF($AH44&gt;0,リスト!$Y$24,IF($AI44&gt;0,リスト!$Y$25,IF($AJ44&gt;0,リスト!$Y$26,"")))))))))</f>
        <v/>
      </c>
      <c r="K44" s="211" t="s">
        <v>149</v>
      </c>
      <c r="M44" s="212">
        <f t="shared" si="4"/>
        <v>37</v>
      </c>
      <c r="N44" s="212" t="str">
        <f>IF($C44&lt;&gt;"",VLOOKUP($C44,マスタ!$L$4:$U$51,9,FALSE),"")</f>
        <v/>
      </c>
      <c r="O44" s="212" t="str">
        <f>IF($C44&lt;&gt;"",VLOOKUP($N44,マスタ!$H$4:$I$51,2,TRUE),"")</f>
        <v/>
      </c>
      <c r="P44" s="212" t="str">
        <f>IF($N44&lt;&gt;"",VLOOKUP($N44,マスタ!$T$4:$W$51,3,FALSE),"")</f>
        <v/>
      </c>
      <c r="Q44" s="212" t="str">
        <f>IF($N44&lt;&gt;"",VLOOKUP($N44,マスタ!$T$4:$W$51,4,FALSE),"")</f>
        <v/>
      </c>
      <c r="R44" s="212" t="str">
        <f>IF($D44&lt;&gt;"",VLOOKUP($D44,選手登録!$N$8:$P$57,3,FALSE),"")</f>
        <v/>
      </c>
      <c r="S44" s="212" t="str">
        <f>IF($R44&lt;&gt;"",VLOOKUP($R44,選手登録!$M$8:$V$57,6,FALSE),"")</f>
        <v/>
      </c>
      <c r="T44" s="212" t="str">
        <f>IF($R44&lt;&gt;"",VLOOKUP($R44,選手登録!$M$8:$V$57,7,FALSE),"")</f>
        <v/>
      </c>
      <c r="U44" s="212" t="str">
        <f>IF($R44&lt;&gt;"",IF(VLOOKUP($R44,選手登録!$M$8:$U$57,9,FALSE)&lt;&gt;"",1,0),"")</f>
        <v/>
      </c>
      <c r="V44" s="212" t="str">
        <f>IF($E44&lt;&gt;"",VLOOKUP($E44,馬匹登録!$L$8:$N$57,3,FALSE),"")</f>
        <v/>
      </c>
      <c r="W44" s="212" t="str">
        <f>IF($V44&lt;&gt;"",IF(VLOOKUP($V44,馬匹登録!$N$8:$O$57,2,FALSE)&lt;&gt;"",1,0),"")</f>
        <v/>
      </c>
      <c r="X44" s="212" t="str">
        <f>IF($V44&lt;&gt;"",IF(VLOOKUP($V44,馬匹登録!$N$8:$Q$57,3,FALSE)&lt;&gt;"",1,0),"")</f>
        <v/>
      </c>
      <c r="Y44" s="212" t="str">
        <f>IF($V44&lt;&gt;"",IF(VLOOKUP($V44,馬匹登録!$N$8:$Q$57,4,FALSE)&lt;&gt;"",1,0),"")</f>
        <v/>
      </c>
      <c r="Z44" s="212" t="str">
        <f>IF($G44&lt;&gt;"",VLOOKUP($G44,リスト!$J$2:$K$5,2,FALSE),"")</f>
        <v/>
      </c>
      <c r="AA44" s="212" t="str">
        <f>IF($E44&lt;&gt;"",IFERROR(VLOOKUP($N44,マスタ!$H$4:$R$51,7+VLOOKUP($G44,リスト!$J$2:$K$5,2,FALSE),FALSE),"-"),"")</f>
        <v/>
      </c>
      <c r="AB44" s="212" t="str">
        <f t="shared" si="5"/>
        <v/>
      </c>
      <c r="AC44" s="212">
        <f>IF($AC$6=1,IFERROR(IF(AND($N44&lt;&gt;"",$R44&lt;&gt;""),IF(VLOOKUP($N44,マスタ!$T$4:$AC$51,4+$S44,FALSE)=0,1,0),0),1),0)</f>
        <v>0</v>
      </c>
      <c r="AD44" s="212">
        <f t="shared" si="6"/>
        <v>0</v>
      </c>
      <c r="AE44" s="212">
        <f>IF($AE$6=1,IFERROR(IF($G44="社馬連",IF(IFERROR(VLOOKUP($F44,リスト!$F$10:$H$51,2,FALSE),2)&lt;&gt;0,1,0),0),1),0)</f>
        <v>0</v>
      </c>
      <c r="AF44" s="212">
        <f t="shared" si="7"/>
        <v>0</v>
      </c>
      <c r="AG44" s="212">
        <f t="shared" si="8"/>
        <v>0</v>
      </c>
      <c r="AH44" s="212">
        <f t="shared" si="9"/>
        <v>0</v>
      </c>
      <c r="AI44" s="212">
        <f t="shared" si="10"/>
        <v>0</v>
      </c>
      <c r="AJ44" s="212">
        <f t="shared" si="11"/>
        <v>0</v>
      </c>
      <c r="AK44" s="212" t="str">
        <f t="shared" si="12"/>
        <v/>
      </c>
      <c r="AL44" s="212">
        <f t="shared" si="13"/>
        <v>0</v>
      </c>
      <c r="AM44" s="212" t="str">
        <f>IFERROR(VLOOKUP($N44,マスタ!$T$4:$AE$51,12,TRUE),"")</f>
        <v/>
      </c>
      <c r="AO44" s="212" t="str">
        <f t="shared" ca="1" si="14"/>
        <v/>
      </c>
      <c r="AP44" s="212" t="str">
        <f t="shared" ca="1" si="15"/>
        <v/>
      </c>
      <c r="AQ44" s="212" t="str">
        <f t="shared" ca="1" si="16"/>
        <v/>
      </c>
      <c r="AR44" s="212" t="str">
        <f t="shared" ca="1" si="0"/>
        <v/>
      </c>
      <c r="AS44" s="212" t="str">
        <f t="shared" ca="1" si="17"/>
        <v/>
      </c>
      <c r="AT44" s="212" t="str">
        <f t="shared" ca="1" si="18"/>
        <v/>
      </c>
      <c r="AU44" s="212" t="str">
        <f t="shared" ca="1" si="19"/>
        <v/>
      </c>
      <c r="AV44" s="212" t="str">
        <f t="shared" ca="1" si="20"/>
        <v/>
      </c>
      <c r="AX44" s="212">
        <f t="shared" si="27"/>
        <v>0</v>
      </c>
      <c r="AY44" s="212">
        <f t="shared" si="22"/>
        <v>37</v>
      </c>
      <c r="AZ44" s="212" t="str">
        <f t="shared" ca="1" si="23"/>
        <v/>
      </c>
      <c r="BA44" s="212" t="str">
        <f t="shared" si="25"/>
        <v/>
      </c>
      <c r="BB44" s="212" t="str">
        <f t="shared" si="24"/>
        <v/>
      </c>
      <c r="BC44" s="212" t="str">
        <f t="shared" ca="1" si="26"/>
        <v/>
      </c>
    </row>
    <row r="45" spans="1:55" ht="24" customHeight="1" x14ac:dyDescent="0.15">
      <c r="A45" s="234">
        <v>38</v>
      </c>
      <c r="B45" s="235" t="str">
        <f>IF($C45&lt;&gt;"",VLOOKUP($N45,マスタ!$H$4:$K$51,3,TRUE),"")</f>
        <v/>
      </c>
      <c r="C45" s="236"/>
      <c r="D45" s="236"/>
      <c r="E45" s="236"/>
      <c r="F45" s="237" t="str">
        <f>IF($R45&lt;&gt;"",IF(VLOOKUP($R45,選手登録!$A$8:$H$57,8,FALSE)&lt;&gt;"",VLOOKUP($R45,選手登録!$A$8:$H$57,8,FALSE),団体登録!$B$7),"")</f>
        <v/>
      </c>
      <c r="G45" s="238"/>
      <c r="H45" s="333" t="str">
        <f t="shared" si="3"/>
        <v/>
      </c>
      <c r="I45" s="239"/>
      <c r="J45" s="233" t="str">
        <f>IF($AC45&gt;0,リスト!$Y$22,IF($AD45=1,リスト!$Y$21,IF($AD45=2,リスト!$Y$23,IF($AE45&gt;0,リスト!$Y$18,IF($AF45&gt;0,リスト!$Y$19,IF($AG45&gt;0,リスト!$Y$20,IF($AH45&gt;0,リスト!$Y$24,IF($AI45&gt;0,リスト!$Y$25,IF($AJ45&gt;0,リスト!$Y$26,"")))))))))</f>
        <v/>
      </c>
      <c r="K45" s="211" t="s">
        <v>149</v>
      </c>
      <c r="M45" s="212">
        <f t="shared" si="4"/>
        <v>38</v>
      </c>
      <c r="N45" s="212" t="str">
        <f>IF($C45&lt;&gt;"",VLOOKUP($C45,マスタ!$L$4:$U$51,9,FALSE),"")</f>
        <v/>
      </c>
      <c r="O45" s="212" t="str">
        <f>IF($C45&lt;&gt;"",VLOOKUP($N45,マスタ!$H$4:$I$51,2,TRUE),"")</f>
        <v/>
      </c>
      <c r="P45" s="212" t="str">
        <f>IF($N45&lt;&gt;"",VLOOKUP($N45,マスタ!$T$4:$W$51,3,FALSE),"")</f>
        <v/>
      </c>
      <c r="Q45" s="212" t="str">
        <f>IF($N45&lt;&gt;"",VLOOKUP($N45,マスタ!$T$4:$W$51,4,FALSE),"")</f>
        <v/>
      </c>
      <c r="R45" s="212" t="str">
        <f>IF($D45&lt;&gt;"",VLOOKUP($D45,選手登録!$N$8:$P$57,3,FALSE),"")</f>
        <v/>
      </c>
      <c r="S45" s="212" t="str">
        <f>IF($R45&lt;&gt;"",VLOOKUP($R45,選手登録!$M$8:$V$57,6,FALSE),"")</f>
        <v/>
      </c>
      <c r="T45" s="212" t="str">
        <f>IF($R45&lt;&gt;"",VLOOKUP($R45,選手登録!$M$8:$V$57,7,FALSE),"")</f>
        <v/>
      </c>
      <c r="U45" s="212" t="str">
        <f>IF($R45&lt;&gt;"",IF(VLOOKUP($R45,選手登録!$M$8:$U$57,9,FALSE)&lt;&gt;"",1,0),"")</f>
        <v/>
      </c>
      <c r="V45" s="212" t="str">
        <f>IF($E45&lt;&gt;"",VLOOKUP($E45,馬匹登録!$L$8:$N$57,3,FALSE),"")</f>
        <v/>
      </c>
      <c r="W45" s="212" t="str">
        <f>IF($V45&lt;&gt;"",IF(VLOOKUP($V45,馬匹登録!$N$8:$O$57,2,FALSE)&lt;&gt;"",1,0),"")</f>
        <v/>
      </c>
      <c r="X45" s="212" t="str">
        <f>IF($V45&lt;&gt;"",IF(VLOOKUP($V45,馬匹登録!$N$8:$Q$57,3,FALSE)&lt;&gt;"",1,0),"")</f>
        <v/>
      </c>
      <c r="Y45" s="212" t="str">
        <f>IF($V45&lt;&gt;"",IF(VLOOKUP($V45,馬匹登録!$N$8:$Q$57,4,FALSE)&lt;&gt;"",1,0),"")</f>
        <v/>
      </c>
      <c r="Z45" s="212" t="str">
        <f>IF($G45&lt;&gt;"",VLOOKUP($G45,リスト!$J$2:$K$5,2,FALSE),"")</f>
        <v/>
      </c>
      <c r="AA45" s="212" t="str">
        <f>IF($E45&lt;&gt;"",IFERROR(VLOOKUP($N45,マスタ!$H$4:$R$51,7+VLOOKUP($G45,リスト!$J$2:$K$5,2,FALSE),FALSE),"-"),"")</f>
        <v/>
      </c>
      <c r="AB45" s="212" t="str">
        <f t="shared" si="5"/>
        <v/>
      </c>
      <c r="AC45" s="212">
        <f>IF($AC$6=1,IFERROR(IF(AND($N45&lt;&gt;"",$R45&lt;&gt;""),IF(VLOOKUP($N45,マスタ!$T$4:$AC$51,4+$S45,FALSE)=0,1,0),0),1),0)</f>
        <v>0</v>
      </c>
      <c r="AD45" s="212">
        <f t="shared" si="6"/>
        <v>0</v>
      </c>
      <c r="AE45" s="212">
        <f>IF($AE$6=1,IFERROR(IF($G45="社馬連",IF(IFERROR(VLOOKUP($F45,リスト!$F$10:$H$51,2,FALSE),2)&lt;&gt;0,1,0),0),1),0)</f>
        <v>0</v>
      </c>
      <c r="AF45" s="212">
        <f t="shared" si="7"/>
        <v>0</v>
      </c>
      <c r="AG45" s="212">
        <f t="shared" si="8"/>
        <v>0</v>
      </c>
      <c r="AH45" s="212">
        <f t="shared" si="9"/>
        <v>0</v>
      </c>
      <c r="AI45" s="212">
        <f t="shared" si="10"/>
        <v>0</v>
      </c>
      <c r="AJ45" s="212">
        <f t="shared" si="11"/>
        <v>0</v>
      </c>
      <c r="AK45" s="212" t="str">
        <f t="shared" si="12"/>
        <v/>
      </c>
      <c r="AL45" s="212">
        <f t="shared" si="13"/>
        <v>0</v>
      </c>
      <c r="AM45" s="212" t="str">
        <f>IFERROR(VLOOKUP($N45,マスタ!$T$4:$AE$51,12,TRUE),"")</f>
        <v/>
      </c>
      <c r="AO45" s="212" t="str">
        <f t="shared" ca="1" si="14"/>
        <v/>
      </c>
      <c r="AP45" s="212" t="str">
        <f t="shared" ca="1" si="15"/>
        <v/>
      </c>
      <c r="AQ45" s="212" t="str">
        <f t="shared" ca="1" si="16"/>
        <v/>
      </c>
      <c r="AR45" s="212" t="str">
        <f t="shared" ca="1" si="0"/>
        <v/>
      </c>
      <c r="AS45" s="212" t="str">
        <f t="shared" ca="1" si="17"/>
        <v/>
      </c>
      <c r="AT45" s="212" t="str">
        <f t="shared" ca="1" si="18"/>
        <v/>
      </c>
      <c r="AU45" s="212" t="str">
        <f t="shared" ca="1" si="19"/>
        <v/>
      </c>
      <c r="AV45" s="212" t="str">
        <f t="shared" ca="1" si="20"/>
        <v/>
      </c>
      <c r="AX45" s="212">
        <f t="shared" si="27"/>
        <v>0</v>
      </c>
      <c r="AY45" s="212">
        <f t="shared" si="22"/>
        <v>38</v>
      </c>
      <c r="AZ45" s="212" t="str">
        <f t="shared" ca="1" si="23"/>
        <v/>
      </c>
      <c r="BA45" s="212" t="str">
        <f t="shared" si="25"/>
        <v/>
      </c>
      <c r="BB45" s="212" t="str">
        <f t="shared" si="24"/>
        <v/>
      </c>
      <c r="BC45" s="212" t="str">
        <f t="shared" ca="1" si="26"/>
        <v/>
      </c>
    </row>
    <row r="46" spans="1:55" ht="24" customHeight="1" x14ac:dyDescent="0.15">
      <c r="A46" s="234">
        <v>39</v>
      </c>
      <c r="B46" s="235" t="str">
        <f>IF($C46&lt;&gt;"",VLOOKUP($N46,マスタ!$H$4:$K$51,3,TRUE),"")</f>
        <v/>
      </c>
      <c r="C46" s="236"/>
      <c r="D46" s="236"/>
      <c r="E46" s="236"/>
      <c r="F46" s="237" t="str">
        <f>IF($R46&lt;&gt;"",IF(VLOOKUP($R46,選手登録!$A$8:$H$57,8,FALSE)&lt;&gt;"",VLOOKUP($R46,選手登録!$A$8:$H$57,8,FALSE),団体登録!$B$7),"")</f>
        <v/>
      </c>
      <c r="G46" s="238"/>
      <c r="H46" s="333" t="str">
        <f t="shared" si="3"/>
        <v/>
      </c>
      <c r="I46" s="239"/>
      <c r="J46" s="233" t="str">
        <f>IF($AC46&gt;0,リスト!$Y$22,IF($AD46=1,リスト!$Y$21,IF($AD46=2,リスト!$Y$23,IF($AE46&gt;0,リスト!$Y$18,IF($AF46&gt;0,リスト!$Y$19,IF($AG46&gt;0,リスト!$Y$20,IF($AH46&gt;0,リスト!$Y$24,IF($AI46&gt;0,リスト!$Y$25,IF($AJ46&gt;0,リスト!$Y$26,"")))))))))</f>
        <v/>
      </c>
      <c r="K46" s="211" t="s">
        <v>149</v>
      </c>
      <c r="M46" s="212">
        <f t="shared" si="4"/>
        <v>39</v>
      </c>
      <c r="N46" s="212" t="str">
        <f>IF($C46&lt;&gt;"",VLOOKUP($C46,マスタ!$L$4:$U$51,9,FALSE),"")</f>
        <v/>
      </c>
      <c r="O46" s="212" t="str">
        <f>IF($C46&lt;&gt;"",VLOOKUP($N46,マスタ!$H$4:$I$51,2,TRUE),"")</f>
        <v/>
      </c>
      <c r="P46" s="212" t="str">
        <f>IF($N46&lt;&gt;"",VLOOKUP($N46,マスタ!$T$4:$W$51,3,FALSE),"")</f>
        <v/>
      </c>
      <c r="Q46" s="212" t="str">
        <f>IF($N46&lt;&gt;"",VLOOKUP($N46,マスタ!$T$4:$W$51,4,FALSE),"")</f>
        <v/>
      </c>
      <c r="R46" s="212" t="str">
        <f>IF($D46&lt;&gt;"",VLOOKUP($D46,選手登録!$N$8:$P$57,3,FALSE),"")</f>
        <v/>
      </c>
      <c r="S46" s="212" t="str">
        <f>IF($R46&lt;&gt;"",VLOOKUP($R46,選手登録!$M$8:$V$57,6,FALSE),"")</f>
        <v/>
      </c>
      <c r="T46" s="212" t="str">
        <f>IF($R46&lt;&gt;"",VLOOKUP($R46,選手登録!$M$8:$V$57,7,FALSE),"")</f>
        <v/>
      </c>
      <c r="U46" s="212" t="str">
        <f>IF($R46&lt;&gt;"",IF(VLOOKUP($R46,選手登録!$M$8:$U$57,9,FALSE)&lt;&gt;"",1,0),"")</f>
        <v/>
      </c>
      <c r="V46" s="212" t="str">
        <f>IF($E46&lt;&gt;"",VLOOKUP($E46,馬匹登録!$L$8:$N$57,3,FALSE),"")</f>
        <v/>
      </c>
      <c r="W46" s="212" t="str">
        <f>IF($V46&lt;&gt;"",IF(VLOOKUP($V46,馬匹登録!$N$8:$O$57,2,FALSE)&lt;&gt;"",1,0),"")</f>
        <v/>
      </c>
      <c r="X46" s="212" t="str">
        <f>IF($V46&lt;&gt;"",IF(VLOOKUP($V46,馬匹登録!$N$8:$Q$57,3,FALSE)&lt;&gt;"",1,0),"")</f>
        <v/>
      </c>
      <c r="Y46" s="212" t="str">
        <f>IF($V46&lt;&gt;"",IF(VLOOKUP($V46,馬匹登録!$N$8:$Q$57,4,FALSE)&lt;&gt;"",1,0),"")</f>
        <v/>
      </c>
      <c r="Z46" s="212" t="str">
        <f>IF($G46&lt;&gt;"",VLOOKUP($G46,リスト!$J$2:$K$5,2,FALSE),"")</f>
        <v/>
      </c>
      <c r="AA46" s="212" t="str">
        <f>IF($E46&lt;&gt;"",IFERROR(VLOOKUP($N46,マスタ!$H$4:$R$51,7+VLOOKUP($G46,リスト!$J$2:$K$5,2,FALSE),FALSE),"-"),"")</f>
        <v/>
      </c>
      <c r="AB46" s="212" t="str">
        <f t="shared" si="5"/>
        <v/>
      </c>
      <c r="AC46" s="212">
        <f>IF($AC$6=1,IFERROR(IF(AND($N46&lt;&gt;"",$R46&lt;&gt;""),IF(VLOOKUP($N46,マスタ!$T$4:$AC$51,4+$S46,FALSE)=0,1,0),0),1),0)</f>
        <v>0</v>
      </c>
      <c r="AD46" s="212">
        <f t="shared" si="6"/>
        <v>0</v>
      </c>
      <c r="AE46" s="212">
        <f>IF($AE$6=1,IFERROR(IF($G46="社馬連",IF(IFERROR(VLOOKUP($F46,リスト!$F$10:$H$51,2,FALSE),2)&lt;&gt;0,1,0),0),1),0)</f>
        <v>0</v>
      </c>
      <c r="AF46" s="212">
        <f t="shared" si="7"/>
        <v>0</v>
      </c>
      <c r="AG46" s="212">
        <f t="shared" si="8"/>
        <v>0</v>
      </c>
      <c r="AH46" s="212">
        <f t="shared" si="9"/>
        <v>0</v>
      </c>
      <c r="AI46" s="212">
        <f t="shared" si="10"/>
        <v>0</v>
      </c>
      <c r="AJ46" s="212">
        <f t="shared" si="11"/>
        <v>0</v>
      </c>
      <c r="AK46" s="212" t="str">
        <f t="shared" si="12"/>
        <v/>
      </c>
      <c r="AL46" s="212">
        <f t="shared" si="13"/>
        <v>0</v>
      </c>
      <c r="AM46" s="212" t="str">
        <f>IFERROR(VLOOKUP($N46,マスタ!$T$4:$AE$51,12,TRUE),"")</f>
        <v/>
      </c>
      <c r="AO46" s="212" t="str">
        <f t="shared" ca="1" si="14"/>
        <v/>
      </c>
      <c r="AP46" s="212" t="str">
        <f t="shared" ca="1" si="15"/>
        <v/>
      </c>
      <c r="AQ46" s="212" t="str">
        <f t="shared" ca="1" si="16"/>
        <v/>
      </c>
      <c r="AR46" s="212" t="str">
        <f t="shared" ca="1" si="0"/>
        <v/>
      </c>
      <c r="AS46" s="212" t="str">
        <f t="shared" ca="1" si="17"/>
        <v/>
      </c>
      <c r="AT46" s="212" t="str">
        <f t="shared" ca="1" si="18"/>
        <v/>
      </c>
      <c r="AU46" s="212" t="str">
        <f t="shared" ca="1" si="19"/>
        <v/>
      </c>
      <c r="AV46" s="212" t="str">
        <f t="shared" ca="1" si="20"/>
        <v/>
      </c>
      <c r="AX46" s="212">
        <f t="shared" si="27"/>
        <v>0</v>
      </c>
      <c r="AY46" s="212">
        <f t="shared" si="22"/>
        <v>39</v>
      </c>
      <c r="AZ46" s="212" t="str">
        <f t="shared" ca="1" si="23"/>
        <v/>
      </c>
      <c r="BA46" s="212" t="str">
        <f t="shared" si="25"/>
        <v/>
      </c>
      <c r="BB46" s="212" t="str">
        <f t="shared" si="24"/>
        <v/>
      </c>
      <c r="BC46" s="212" t="str">
        <f t="shared" ca="1" si="26"/>
        <v/>
      </c>
    </row>
    <row r="47" spans="1:55" ht="24" customHeight="1" x14ac:dyDescent="0.15">
      <c r="A47" s="234">
        <v>40</v>
      </c>
      <c r="B47" s="235" t="str">
        <f>IF($C47&lt;&gt;"",VLOOKUP($N47,マスタ!$H$4:$K$51,3,TRUE),"")</f>
        <v/>
      </c>
      <c r="C47" s="236"/>
      <c r="D47" s="236"/>
      <c r="E47" s="236"/>
      <c r="F47" s="237" t="str">
        <f>IF($R47&lt;&gt;"",IF(VLOOKUP($R47,選手登録!$A$8:$H$57,8,FALSE)&lt;&gt;"",VLOOKUP($R47,選手登録!$A$8:$H$57,8,FALSE),団体登録!$B$7),"")</f>
        <v/>
      </c>
      <c r="G47" s="238"/>
      <c r="H47" s="333" t="str">
        <f t="shared" si="3"/>
        <v/>
      </c>
      <c r="I47" s="239"/>
      <c r="J47" s="233" t="str">
        <f>IF($AC47&gt;0,リスト!$Y$22,IF($AD47=1,リスト!$Y$21,IF($AD47=2,リスト!$Y$23,IF($AE47&gt;0,リスト!$Y$18,IF($AF47&gt;0,リスト!$Y$19,IF($AG47&gt;0,リスト!$Y$20,IF($AH47&gt;0,リスト!$Y$24,IF($AI47&gt;0,リスト!$Y$25,IF($AJ47&gt;0,リスト!$Y$26,"")))))))))</f>
        <v/>
      </c>
      <c r="K47" s="211" t="s">
        <v>149</v>
      </c>
      <c r="M47" s="212">
        <f t="shared" si="4"/>
        <v>40</v>
      </c>
      <c r="N47" s="212" t="str">
        <f>IF($C47&lt;&gt;"",VLOOKUP($C47,マスタ!$L$4:$U$51,9,FALSE),"")</f>
        <v/>
      </c>
      <c r="O47" s="212" t="str">
        <f>IF($C47&lt;&gt;"",VLOOKUP($N47,マスタ!$H$4:$I$51,2,TRUE),"")</f>
        <v/>
      </c>
      <c r="P47" s="212" t="str">
        <f>IF($N47&lt;&gt;"",VLOOKUP($N47,マスタ!$T$4:$W$51,3,FALSE),"")</f>
        <v/>
      </c>
      <c r="Q47" s="212" t="str">
        <f>IF($N47&lt;&gt;"",VLOOKUP($N47,マスタ!$T$4:$W$51,4,FALSE),"")</f>
        <v/>
      </c>
      <c r="R47" s="212" t="str">
        <f>IF($D47&lt;&gt;"",VLOOKUP($D47,選手登録!$N$8:$P$57,3,FALSE),"")</f>
        <v/>
      </c>
      <c r="S47" s="212" t="str">
        <f>IF($R47&lt;&gt;"",VLOOKUP($R47,選手登録!$M$8:$V$57,6,FALSE),"")</f>
        <v/>
      </c>
      <c r="T47" s="212" t="str">
        <f>IF($R47&lt;&gt;"",VLOOKUP($R47,選手登録!$M$8:$V$57,7,FALSE),"")</f>
        <v/>
      </c>
      <c r="U47" s="212" t="str">
        <f>IF($R47&lt;&gt;"",IF(VLOOKUP($R47,選手登録!$M$8:$U$57,9,FALSE)&lt;&gt;"",1,0),"")</f>
        <v/>
      </c>
      <c r="V47" s="212" t="str">
        <f>IF($E47&lt;&gt;"",VLOOKUP($E47,馬匹登録!$L$8:$N$57,3,FALSE),"")</f>
        <v/>
      </c>
      <c r="W47" s="212" t="str">
        <f>IF($V47&lt;&gt;"",IF(VLOOKUP($V47,馬匹登録!$N$8:$O$57,2,FALSE)&lt;&gt;"",1,0),"")</f>
        <v/>
      </c>
      <c r="X47" s="212" t="str">
        <f>IF($V47&lt;&gt;"",IF(VLOOKUP($V47,馬匹登録!$N$8:$Q$57,3,FALSE)&lt;&gt;"",1,0),"")</f>
        <v/>
      </c>
      <c r="Y47" s="212" t="str">
        <f>IF($V47&lt;&gt;"",IF(VLOOKUP($V47,馬匹登録!$N$8:$Q$57,4,FALSE)&lt;&gt;"",1,0),"")</f>
        <v/>
      </c>
      <c r="Z47" s="212" t="str">
        <f>IF($G47&lt;&gt;"",VLOOKUP($G47,リスト!$J$2:$K$5,2,FALSE),"")</f>
        <v/>
      </c>
      <c r="AA47" s="212" t="str">
        <f>IF($E47&lt;&gt;"",IFERROR(VLOOKUP($N47,マスタ!$H$4:$R$51,7+VLOOKUP($G47,リスト!$J$2:$K$5,2,FALSE),FALSE),"-"),"")</f>
        <v/>
      </c>
      <c r="AB47" s="212" t="str">
        <f t="shared" si="5"/>
        <v/>
      </c>
      <c r="AC47" s="212">
        <f>IF($AC$6=1,IFERROR(IF(AND($N47&lt;&gt;"",$R47&lt;&gt;""),IF(VLOOKUP($N47,マスタ!$T$4:$AC$51,4+$S47,FALSE)=0,1,0),0),1),0)</f>
        <v>0</v>
      </c>
      <c r="AD47" s="212">
        <f t="shared" si="6"/>
        <v>0</v>
      </c>
      <c r="AE47" s="212">
        <f>IF($AE$6=1,IFERROR(IF($G47="社馬連",IF(IFERROR(VLOOKUP($F47,リスト!$F$10:$H$51,2,FALSE),2)&lt;&gt;0,1,0),0),1),0)</f>
        <v>0</v>
      </c>
      <c r="AF47" s="212">
        <f t="shared" si="7"/>
        <v>0</v>
      </c>
      <c r="AG47" s="212">
        <f t="shared" si="8"/>
        <v>0</v>
      </c>
      <c r="AH47" s="212">
        <f t="shared" si="9"/>
        <v>0</v>
      </c>
      <c r="AI47" s="212">
        <f t="shared" si="10"/>
        <v>0</v>
      </c>
      <c r="AJ47" s="212">
        <f t="shared" si="11"/>
        <v>0</v>
      </c>
      <c r="AK47" s="212" t="str">
        <f t="shared" si="12"/>
        <v/>
      </c>
      <c r="AL47" s="212">
        <f t="shared" si="13"/>
        <v>0</v>
      </c>
      <c r="AM47" s="212" t="str">
        <f>IFERROR(VLOOKUP($N47,マスタ!$T$4:$AE$51,12,TRUE),"")</f>
        <v/>
      </c>
      <c r="AO47" s="212" t="str">
        <f t="shared" ca="1" si="14"/>
        <v/>
      </c>
      <c r="AP47" s="212" t="str">
        <f t="shared" ca="1" si="15"/>
        <v/>
      </c>
      <c r="AQ47" s="212" t="str">
        <f t="shared" ca="1" si="16"/>
        <v/>
      </c>
      <c r="AR47" s="212" t="str">
        <f t="shared" ca="1" si="0"/>
        <v/>
      </c>
      <c r="AS47" s="212" t="str">
        <f t="shared" ca="1" si="17"/>
        <v/>
      </c>
      <c r="AT47" s="212" t="str">
        <f t="shared" ca="1" si="18"/>
        <v/>
      </c>
      <c r="AU47" s="212" t="str">
        <f t="shared" ca="1" si="19"/>
        <v/>
      </c>
      <c r="AV47" s="212" t="str">
        <f t="shared" ca="1" si="20"/>
        <v/>
      </c>
      <c r="AX47" s="212">
        <f t="shared" si="27"/>
        <v>0</v>
      </c>
      <c r="AY47" s="212">
        <f t="shared" si="22"/>
        <v>40</v>
      </c>
      <c r="AZ47" s="212" t="str">
        <f t="shared" ca="1" si="23"/>
        <v/>
      </c>
      <c r="BA47" s="212" t="str">
        <f t="shared" si="25"/>
        <v/>
      </c>
      <c r="BB47" s="212" t="str">
        <f t="shared" si="24"/>
        <v/>
      </c>
      <c r="BC47" s="212" t="str">
        <f t="shared" ca="1" si="26"/>
        <v/>
      </c>
    </row>
    <row r="48" spans="1:55" ht="24" customHeight="1" x14ac:dyDescent="0.15">
      <c r="A48" s="234">
        <v>41</v>
      </c>
      <c r="B48" s="235" t="str">
        <f>IF($C48&lt;&gt;"",VLOOKUP($N48,マスタ!$H$4:$K$51,3,TRUE),"")</f>
        <v/>
      </c>
      <c r="C48" s="236"/>
      <c r="D48" s="236"/>
      <c r="E48" s="236"/>
      <c r="F48" s="237" t="str">
        <f>IF($R48&lt;&gt;"",IF(VLOOKUP($R48,選手登録!$A$8:$H$57,8,FALSE)&lt;&gt;"",VLOOKUP($R48,選手登録!$A$8:$H$57,8,FALSE),団体登録!$B$7),"")</f>
        <v/>
      </c>
      <c r="G48" s="238"/>
      <c r="H48" s="333" t="str">
        <f t="shared" si="3"/>
        <v/>
      </c>
      <c r="I48" s="239"/>
      <c r="J48" s="233" t="str">
        <f>IF($AC48&gt;0,リスト!$Y$22,IF($AD48=1,リスト!$Y$21,IF($AD48=2,リスト!$Y$23,IF($AE48&gt;0,リスト!$Y$18,IF($AF48&gt;0,リスト!$Y$19,IF($AG48&gt;0,リスト!$Y$20,IF($AH48&gt;0,リスト!$Y$24,IF($AI48&gt;0,リスト!$Y$25,IF($AJ48&gt;0,リスト!$Y$26,"")))))))))</f>
        <v/>
      </c>
      <c r="K48" s="211" t="s">
        <v>149</v>
      </c>
      <c r="M48" s="212">
        <f t="shared" si="4"/>
        <v>41</v>
      </c>
      <c r="N48" s="212" t="str">
        <f>IF($C48&lt;&gt;"",VLOOKUP($C48,マスタ!$L$4:$U$51,9,FALSE),"")</f>
        <v/>
      </c>
      <c r="O48" s="212" t="str">
        <f>IF($C48&lt;&gt;"",VLOOKUP($N48,マスタ!$H$4:$I$51,2,TRUE),"")</f>
        <v/>
      </c>
      <c r="P48" s="212" t="str">
        <f>IF($N48&lt;&gt;"",VLOOKUP($N48,マスタ!$T$4:$W$51,3,FALSE),"")</f>
        <v/>
      </c>
      <c r="Q48" s="212" t="str">
        <f>IF($N48&lt;&gt;"",VLOOKUP($N48,マスタ!$T$4:$W$51,4,FALSE),"")</f>
        <v/>
      </c>
      <c r="R48" s="212" t="str">
        <f>IF($D48&lt;&gt;"",VLOOKUP($D48,選手登録!$N$8:$P$57,3,FALSE),"")</f>
        <v/>
      </c>
      <c r="S48" s="212" t="str">
        <f>IF($R48&lt;&gt;"",VLOOKUP($R48,選手登録!$M$8:$V$57,6,FALSE),"")</f>
        <v/>
      </c>
      <c r="T48" s="212" t="str">
        <f>IF($R48&lt;&gt;"",VLOOKUP($R48,選手登録!$M$8:$V$57,7,FALSE),"")</f>
        <v/>
      </c>
      <c r="U48" s="212" t="str">
        <f>IF($R48&lt;&gt;"",IF(VLOOKUP($R48,選手登録!$M$8:$U$57,9,FALSE)&lt;&gt;"",1,0),"")</f>
        <v/>
      </c>
      <c r="V48" s="212" t="str">
        <f>IF($E48&lt;&gt;"",VLOOKUP($E48,馬匹登録!$L$8:$N$57,3,FALSE),"")</f>
        <v/>
      </c>
      <c r="W48" s="212" t="str">
        <f>IF($V48&lt;&gt;"",IF(VLOOKUP($V48,馬匹登録!$N$8:$O$57,2,FALSE)&lt;&gt;"",1,0),"")</f>
        <v/>
      </c>
      <c r="X48" s="212" t="str">
        <f>IF($V48&lt;&gt;"",IF(VLOOKUP($V48,馬匹登録!$N$8:$Q$57,3,FALSE)&lt;&gt;"",1,0),"")</f>
        <v/>
      </c>
      <c r="Y48" s="212" t="str">
        <f>IF($V48&lt;&gt;"",IF(VLOOKUP($V48,馬匹登録!$N$8:$Q$57,4,FALSE)&lt;&gt;"",1,0),"")</f>
        <v/>
      </c>
      <c r="Z48" s="212" t="str">
        <f>IF($G48&lt;&gt;"",VLOOKUP($G48,リスト!$J$2:$K$5,2,FALSE),"")</f>
        <v/>
      </c>
      <c r="AA48" s="212" t="str">
        <f>IF($E48&lt;&gt;"",IFERROR(VLOOKUP($N48,マスタ!$H$4:$R$51,7+VLOOKUP($G48,リスト!$J$2:$K$5,2,FALSE),FALSE),"-"),"")</f>
        <v/>
      </c>
      <c r="AB48" s="212" t="str">
        <f t="shared" si="5"/>
        <v/>
      </c>
      <c r="AC48" s="212">
        <f>IF($AC$6=1,IFERROR(IF(AND($N48&lt;&gt;"",$R48&lt;&gt;""),IF(VLOOKUP($N48,マスタ!$T$4:$AC$51,4+$S48,FALSE)=0,1,0),0),1),0)</f>
        <v>0</v>
      </c>
      <c r="AD48" s="212">
        <f t="shared" si="6"/>
        <v>0</v>
      </c>
      <c r="AE48" s="212">
        <f>IF($AE$6=1,IFERROR(IF($G48="社馬連",IF(IFERROR(VLOOKUP($F48,リスト!$F$10:$H$51,2,FALSE),2)&lt;&gt;0,1,0),0),1),0)</f>
        <v>0</v>
      </c>
      <c r="AF48" s="212">
        <f t="shared" si="7"/>
        <v>0</v>
      </c>
      <c r="AG48" s="212">
        <f t="shared" si="8"/>
        <v>0</v>
      </c>
      <c r="AH48" s="212">
        <f t="shared" si="9"/>
        <v>0</v>
      </c>
      <c r="AI48" s="212">
        <f t="shared" si="10"/>
        <v>0</v>
      </c>
      <c r="AJ48" s="212">
        <f t="shared" si="11"/>
        <v>0</v>
      </c>
      <c r="AK48" s="212" t="str">
        <f t="shared" si="12"/>
        <v/>
      </c>
      <c r="AL48" s="212">
        <f t="shared" si="13"/>
        <v>0</v>
      </c>
      <c r="AM48" s="212" t="str">
        <f>IFERROR(VLOOKUP($N48,マスタ!$T$4:$AE$51,12,TRUE),"")</f>
        <v/>
      </c>
      <c r="AO48" s="212" t="str">
        <f t="shared" ca="1" si="14"/>
        <v/>
      </c>
      <c r="AP48" s="212" t="str">
        <f t="shared" ca="1" si="15"/>
        <v/>
      </c>
      <c r="AQ48" s="212" t="str">
        <f t="shared" ca="1" si="16"/>
        <v/>
      </c>
      <c r="AR48" s="212" t="str">
        <f t="shared" ca="1" si="0"/>
        <v/>
      </c>
      <c r="AS48" s="212" t="str">
        <f t="shared" ca="1" si="17"/>
        <v/>
      </c>
      <c r="AT48" s="212" t="str">
        <f t="shared" ca="1" si="18"/>
        <v/>
      </c>
      <c r="AU48" s="212" t="str">
        <f t="shared" ca="1" si="19"/>
        <v/>
      </c>
      <c r="AV48" s="212" t="str">
        <f t="shared" ca="1" si="20"/>
        <v/>
      </c>
      <c r="AX48" s="212">
        <f t="shared" si="27"/>
        <v>0</v>
      </c>
      <c r="AY48" s="212">
        <f t="shared" si="22"/>
        <v>41</v>
      </c>
      <c r="AZ48" s="212" t="str">
        <f t="shared" ca="1" si="23"/>
        <v/>
      </c>
      <c r="BA48" s="212" t="str">
        <f t="shared" si="25"/>
        <v/>
      </c>
      <c r="BB48" s="212" t="str">
        <f t="shared" si="24"/>
        <v/>
      </c>
      <c r="BC48" s="212" t="str">
        <f t="shared" ca="1" si="26"/>
        <v/>
      </c>
    </row>
    <row r="49" spans="1:55" ht="24" customHeight="1" x14ac:dyDescent="0.15">
      <c r="A49" s="234">
        <v>42</v>
      </c>
      <c r="B49" s="235" t="str">
        <f>IF($C49&lt;&gt;"",VLOOKUP($N49,マスタ!$H$4:$K$51,3,TRUE),"")</f>
        <v/>
      </c>
      <c r="C49" s="236"/>
      <c r="D49" s="236"/>
      <c r="E49" s="236"/>
      <c r="F49" s="237" t="str">
        <f>IF($R49&lt;&gt;"",IF(VLOOKUP($R49,選手登録!$A$8:$H$57,8,FALSE)&lt;&gt;"",VLOOKUP($R49,選手登録!$A$8:$H$57,8,FALSE),団体登録!$B$7),"")</f>
        <v/>
      </c>
      <c r="G49" s="238"/>
      <c r="H49" s="333" t="str">
        <f t="shared" si="3"/>
        <v/>
      </c>
      <c r="I49" s="239"/>
      <c r="J49" s="233" t="str">
        <f>IF($AC49&gt;0,リスト!$Y$22,IF($AD49=1,リスト!$Y$21,IF($AD49=2,リスト!$Y$23,IF($AE49&gt;0,リスト!$Y$18,IF($AF49&gt;0,リスト!$Y$19,IF($AG49&gt;0,リスト!$Y$20,IF($AH49&gt;0,リスト!$Y$24,IF($AI49&gt;0,リスト!$Y$25,IF($AJ49&gt;0,リスト!$Y$26,"")))))))))</f>
        <v/>
      </c>
      <c r="K49" s="211" t="s">
        <v>149</v>
      </c>
      <c r="M49" s="212">
        <f t="shared" si="4"/>
        <v>42</v>
      </c>
      <c r="N49" s="212" t="str">
        <f>IF($C49&lt;&gt;"",VLOOKUP($C49,マスタ!$L$4:$U$51,9,FALSE),"")</f>
        <v/>
      </c>
      <c r="O49" s="212" t="str">
        <f>IF($C49&lt;&gt;"",VLOOKUP($N49,マスタ!$H$4:$I$51,2,TRUE),"")</f>
        <v/>
      </c>
      <c r="P49" s="212" t="str">
        <f>IF($N49&lt;&gt;"",VLOOKUP($N49,マスタ!$T$4:$W$51,3,FALSE),"")</f>
        <v/>
      </c>
      <c r="Q49" s="212" t="str">
        <f>IF($N49&lt;&gt;"",VLOOKUP($N49,マスタ!$T$4:$W$51,4,FALSE),"")</f>
        <v/>
      </c>
      <c r="R49" s="212" t="str">
        <f>IF($D49&lt;&gt;"",VLOOKUP($D49,選手登録!$N$8:$P$57,3,FALSE),"")</f>
        <v/>
      </c>
      <c r="S49" s="212" t="str">
        <f>IF($R49&lt;&gt;"",VLOOKUP($R49,選手登録!$M$8:$V$57,6,FALSE),"")</f>
        <v/>
      </c>
      <c r="T49" s="212" t="str">
        <f>IF($R49&lt;&gt;"",VLOOKUP($R49,選手登録!$M$8:$V$57,7,FALSE),"")</f>
        <v/>
      </c>
      <c r="U49" s="212" t="str">
        <f>IF($R49&lt;&gt;"",IF(VLOOKUP($R49,選手登録!$M$8:$U$57,9,FALSE)&lt;&gt;"",1,0),"")</f>
        <v/>
      </c>
      <c r="V49" s="212" t="str">
        <f>IF($E49&lt;&gt;"",VLOOKUP($E49,馬匹登録!$L$8:$N$57,3,FALSE),"")</f>
        <v/>
      </c>
      <c r="W49" s="212" t="str">
        <f>IF($V49&lt;&gt;"",IF(VLOOKUP($V49,馬匹登録!$N$8:$O$57,2,FALSE)&lt;&gt;"",1,0),"")</f>
        <v/>
      </c>
      <c r="X49" s="212" t="str">
        <f>IF($V49&lt;&gt;"",IF(VLOOKUP($V49,馬匹登録!$N$8:$Q$57,3,FALSE)&lt;&gt;"",1,0),"")</f>
        <v/>
      </c>
      <c r="Y49" s="212" t="str">
        <f>IF($V49&lt;&gt;"",IF(VLOOKUP($V49,馬匹登録!$N$8:$Q$57,4,FALSE)&lt;&gt;"",1,0),"")</f>
        <v/>
      </c>
      <c r="Z49" s="212" t="str">
        <f>IF($G49&lt;&gt;"",VLOOKUP($G49,リスト!$J$2:$K$5,2,FALSE),"")</f>
        <v/>
      </c>
      <c r="AA49" s="212" t="str">
        <f>IF($E49&lt;&gt;"",IFERROR(VLOOKUP($N49,マスタ!$H$4:$R$51,7+VLOOKUP($G49,リスト!$J$2:$K$5,2,FALSE),FALSE),"-"),"")</f>
        <v/>
      </c>
      <c r="AB49" s="212" t="str">
        <f t="shared" si="5"/>
        <v/>
      </c>
      <c r="AC49" s="212">
        <f>IF($AC$6=1,IFERROR(IF(AND($N49&lt;&gt;"",$R49&lt;&gt;""),IF(VLOOKUP($N49,マスタ!$T$4:$AC$51,4+$S49,FALSE)=0,1,0),0),1),0)</f>
        <v>0</v>
      </c>
      <c r="AD49" s="212">
        <f t="shared" si="6"/>
        <v>0</v>
      </c>
      <c r="AE49" s="212">
        <f>IF($AE$6=1,IFERROR(IF($G49="社馬連",IF(IFERROR(VLOOKUP($F49,リスト!$F$10:$H$51,2,FALSE),2)&lt;&gt;0,1,0),0),1),0)</f>
        <v>0</v>
      </c>
      <c r="AF49" s="212">
        <f t="shared" si="7"/>
        <v>0</v>
      </c>
      <c r="AG49" s="212">
        <f t="shared" si="8"/>
        <v>0</v>
      </c>
      <c r="AH49" s="212">
        <f t="shared" si="9"/>
        <v>0</v>
      </c>
      <c r="AI49" s="212">
        <f t="shared" si="10"/>
        <v>0</v>
      </c>
      <c r="AJ49" s="212">
        <f t="shared" si="11"/>
        <v>0</v>
      </c>
      <c r="AK49" s="212" t="str">
        <f t="shared" si="12"/>
        <v/>
      </c>
      <c r="AL49" s="212">
        <f t="shared" si="13"/>
        <v>0</v>
      </c>
      <c r="AM49" s="212" t="str">
        <f>IFERROR(VLOOKUP($N49,マスタ!$T$4:$AE$51,12,TRUE),"")</f>
        <v/>
      </c>
      <c r="AO49" s="212" t="str">
        <f t="shared" ca="1" si="14"/>
        <v/>
      </c>
      <c r="AP49" s="212" t="str">
        <f t="shared" ca="1" si="15"/>
        <v/>
      </c>
      <c r="AQ49" s="212" t="str">
        <f t="shared" ca="1" si="16"/>
        <v/>
      </c>
      <c r="AR49" s="212" t="str">
        <f t="shared" ca="1" si="0"/>
        <v/>
      </c>
      <c r="AS49" s="212" t="str">
        <f t="shared" ca="1" si="17"/>
        <v/>
      </c>
      <c r="AT49" s="212" t="str">
        <f t="shared" ca="1" si="18"/>
        <v/>
      </c>
      <c r="AU49" s="212" t="str">
        <f t="shared" ca="1" si="19"/>
        <v/>
      </c>
      <c r="AV49" s="212" t="str">
        <f t="shared" ca="1" si="20"/>
        <v/>
      </c>
      <c r="AX49" s="212">
        <f t="shared" si="27"/>
        <v>0</v>
      </c>
      <c r="AY49" s="212">
        <f t="shared" si="22"/>
        <v>42</v>
      </c>
      <c r="AZ49" s="212" t="str">
        <f t="shared" ca="1" si="23"/>
        <v/>
      </c>
      <c r="BA49" s="212" t="str">
        <f t="shared" si="25"/>
        <v/>
      </c>
      <c r="BB49" s="212" t="str">
        <f t="shared" si="24"/>
        <v/>
      </c>
      <c r="BC49" s="212" t="str">
        <f t="shared" ca="1" si="26"/>
        <v/>
      </c>
    </row>
    <row r="50" spans="1:55" ht="24" customHeight="1" x14ac:dyDescent="0.15">
      <c r="A50" s="234">
        <v>43</v>
      </c>
      <c r="B50" s="235" t="str">
        <f>IF($C50&lt;&gt;"",VLOOKUP($N50,マスタ!$H$4:$K$51,3,TRUE),"")</f>
        <v/>
      </c>
      <c r="C50" s="236"/>
      <c r="D50" s="236"/>
      <c r="E50" s="236"/>
      <c r="F50" s="237" t="str">
        <f>IF($R50&lt;&gt;"",IF(VLOOKUP($R50,選手登録!$A$8:$H$57,8,FALSE)&lt;&gt;"",VLOOKUP($R50,選手登録!$A$8:$H$57,8,FALSE),団体登録!$B$7),"")</f>
        <v/>
      </c>
      <c r="G50" s="238"/>
      <c r="H50" s="333" t="str">
        <f t="shared" si="3"/>
        <v/>
      </c>
      <c r="I50" s="239"/>
      <c r="J50" s="233" t="str">
        <f>IF($AC50&gt;0,リスト!$Y$22,IF($AD50=1,リスト!$Y$21,IF($AD50=2,リスト!$Y$23,IF($AE50&gt;0,リスト!$Y$18,IF($AF50&gt;0,リスト!$Y$19,IF($AG50&gt;0,リスト!$Y$20,IF($AH50&gt;0,リスト!$Y$24,IF($AI50&gt;0,リスト!$Y$25,IF($AJ50&gt;0,リスト!$Y$26,"")))))))))</f>
        <v/>
      </c>
      <c r="K50" s="211" t="s">
        <v>149</v>
      </c>
      <c r="M50" s="212">
        <f t="shared" si="4"/>
        <v>43</v>
      </c>
      <c r="N50" s="212" t="str">
        <f>IF($C50&lt;&gt;"",VLOOKUP($C50,マスタ!$L$4:$U$51,9,FALSE),"")</f>
        <v/>
      </c>
      <c r="O50" s="212" t="str">
        <f>IF($C50&lt;&gt;"",VLOOKUP($N50,マスタ!$H$4:$I$51,2,TRUE),"")</f>
        <v/>
      </c>
      <c r="P50" s="212" t="str">
        <f>IF($N50&lt;&gt;"",VLOOKUP($N50,マスタ!$T$4:$W$51,3,FALSE),"")</f>
        <v/>
      </c>
      <c r="Q50" s="212" t="str">
        <f>IF($N50&lt;&gt;"",VLOOKUP($N50,マスタ!$T$4:$W$51,4,FALSE),"")</f>
        <v/>
      </c>
      <c r="R50" s="212" t="str">
        <f>IF($D50&lt;&gt;"",VLOOKUP($D50,選手登録!$N$8:$P$57,3,FALSE),"")</f>
        <v/>
      </c>
      <c r="S50" s="212" t="str">
        <f>IF($R50&lt;&gt;"",VLOOKUP($R50,選手登録!$M$8:$V$57,6,FALSE),"")</f>
        <v/>
      </c>
      <c r="T50" s="212" t="str">
        <f>IF($R50&lt;&gt;"",VLOOKUP($R50,選手登録!$M$8:$V$57,7,FALSE),"")</f>
        <v/>
      </c>
      <c r="U50" s="212" t="str">
        <f>IF($R50&lt;&gt;"",IF(VLOOKUP($R50,選手登録!$M$8:$U$57,9,FALSE)&lt;&gt;"",1,0),"")</f>
        <v/>
      </c>
      <c r="V50" s="212" t="str">
        <f>IF($E50&lt;&gt;"",VLOOKUP($E50,馬匹登録!$L$8:$N$57,3,FALSE),"")</f>
        <v/>
      </c>
      <c r="W50" s="212" t="str">
        <f>IF($V50&lt;&gt;"",IF(VLOOKUP($V50,馬匹登録!$N$8:$O$57,2,FALSE)&lt;&gt;"",1,0),"")</f>
        <v/>
      </c>
      <c r="X50" s="212" t="str">
        <f>IF($V50&lt;&gt;"",IF(VLOOKUP($V50,馬匹登録!$N$8:$Q$57,3,FALSE)&lt;&gt;"",1,0),"")</f>
        <v/>
      </c>
      <c r="Y50" s="212" t="str">
        <f>IF($V50&lt;&gt;"",IF(VLOOKUP($V50,馬匹登録!$N$8:$Q$57,4,FALSE)&lt;&gt;"",1,0),"")</f>
        <v/>
      </c>
      <c r="Z50" s="212" t="str">
        <f>IF($G50&lt;&gt;"",VLOOKUP($G50,リスト!$J$2:$K$5,2,FALSE),"")</f>
        <v/>
      </c>
      <c r="AA50" s="212" t="str">
        <f>IF($E50&lt;&gt;"",IFERROR(VLOOKUP($N50,マスタ!$H$4:$R$51,7+VLOOKUP($G50,リスト!$J$2:$K$5,2,FALSE),FALSE),"-"),"")</f>
        <v/>
      </c>
      <c r="AB50" s="212" t="str">
        <f t="shared" si="5"/>
        <v/>
      </c>
      <c r="AC50" s="212">
        <f>IF($AC$6=1,IFERROR(IF(AND($N50&lt;&gt;"",$R50&lt;&gt;""),IF(VLOOKUP($N50,マスタ!$T$4:$AC$51,4+$S50,FALSE)=0,1,0),0),1),0)</f>
        <v>0</v>
      </c>
      <c r="AD50" s="212">
        <f t="shared" si="6"/>
        <v>0</v>
      </c>
      <c r="AE50" s="212">
        <f>IF($AE$6=1,IFERROR(IF($G50="社馬連",IF(IFERROR(VLOOKUP($F50,リスト!$F$10:$H$51,2,FALSE),2)&lt;&gt;0,1,0),0),1),0)</f>
        <v>0</v>
      </c>
      <c r="AF50" s="212">
        <f t="shared" si="7"/>
        <v>0</v>
      </c>
      <c r="AG50" s="212">
        <f t="shared" si="8"/>
        <v>0</v>
      </c>
      <c r="AH50" s="212">
        <f t="shared" si="9"/>
        <v>0</v>
      </c>
      <c r="AI50" s="212">
        <f t="shared" si="10"/>
        <v>0</v>
      </c>
      <c r="AJ50" s="212">
        <f t="shared" si="11"/>
        <v>0</v>
      </c>
      <c r="AK50" s="212" t="str">
        <f t="shared" si="12"/>
        <v/>
      </c>
      <c r="AL50" s="212">
        <f t="shared" si="13"/>
        <v>0</v>
      </c>
      <c r="AM50" s="212" t="str">
        <f>IFERROR(VLOOKUP($N50,マスタ!$T$4:$AE$51,12,TRUE),"")</f>
        <v/>
      </c>
      <c r="AO50" s="212" t="str">
        <f t="shared" ca="1" si="14"/>
        <v/>
      </c>
      <c r="AP50" s="212" t="str">
        <f t="shared" ca="1" si="15"/>
        <v/>
      </c>
      <c r="AQ50" s="212" t="str">
        <f t="shared" ca="1" si="16"/>
        <v/>
      </c>
      <c r="AR50" s="212" t="str">
        <f t="shared" ca="1" si="0"/>
        <v/>
      </c>
      <c r="AS50" s="212" t="str">
        <f t="shared" ca="1" si="17"/>
        <v/>
      </c>
      <c r="AT50" s="212" t="str">
        <f t="shared" ca="1" si="18"/>
        <v/>
      </c>
      <c r="AU50" s="212" t="str">
        <f t="shared" ca="1" si="19"/>
        <v/>
      </c>
      <c r="AV50" s="212" t="str">
        <f t="shared" ca="1" si="20"/>
        <v/>
      </c>
      <c r="AX50" s="212">
        <f t="shared" si="27"/>
        <v>0</v>
      </c>
      <c r="AY50" s="212">
        <f t="shared" si="22"/>
        <v>43</v>
      </c>
      <c r="AZ50" s="212" t="str">
        <f t="shared" ca="1" si="23"/>
        <v/>
      </c>
      <c r="BA50" s="212" t="str">
        <f t="shared" si="25"/>
        <v/>
      </c>
      <c r="BB50" s="212" t="str">
        <f t="shared" si="24"/>
        <v/>
      </c>
      <c r="BC50" s="212" t="str">
        <f t="shared" ca="1" si="26"/>
        <v/>
      </c>
    </row>
    <row r="51" spans="1:55" ht="24" customHeight="1" x14ac:dyDescent="0.15">
      <c r="A51" s="234">
        <v>44</v>
      </c>
      <c r="B51" s="235" t="str">
        <f>IF($C51&lt;&gt;"",VLOOKUP($N51,マスタ!$H$4:$K$51,3,TRUE),"")</f>
        <v/>
      </c>
      <c r="C51" s="236"/>
      <c r="D51" s="236"/>
      <c r="E51" s="236"/>
      <c r="F51" s="237" t="str">
        <f>IF($R51&lt;&gt;"",IF(VLOOKUP($R51,選手登録!$A$8:$H$57,8,FALSE)&lt;&gt;"",VLOOKUP($R51,選手登録!$A$8:$H$57,8,FALSE),団体登録!$B$7),"")</f>
        <v/>
      </c>
      <c r="G51" s="238"/>
      <c r="H51" s="333" t="str">
        <f t="shared" si="3"/>
        <v/>
      </c>
      <c r="I51" s="239"/>
      <c r="J51" s="233" t="str">
        <f>IF($AC51&gt;0,リスト!$Y$22,IF($AD51=1,リスト!$Y$21,IF($AD51=2,リスト!$Y$23,IF($AE51&gt;0,リスト!$Y$18,IF($AF51&gt;0,リスト!$Y$19,IF($AG51&gt;0,リスト!$Y$20,IF($AH51&gt;0,リスト!$Y$24,IF($AI51&gt;0,リスト!$Y$25,IF($AJ51&gt;0,リスト!$Y$26,"")))))))))</f>
        <v/>
      </c>
      <c r="K51" s="211" t="s">
        <v>149</v>
      </c>
      <c r="M51" s="212">
        <f t="shared" si="4"/>
        <v>44</v>
      </c>
      <c r="N51" s="212" t="str">
        <f>IF($C51&lt;&gt;"",VLOOKUP($C51,マスタ!$L$4:$U$51,9,FALSE),"")</f>
        <v/>
      </c>
      <c r="O51" s="212" t="str">
        <f>IF($C51&lt;&gt;"",VLOOKUP($N51,マスタ!$H$4:$I$51,2,TRUE),"")</f>
        <v/>
      </c>
      <c r="P51" s="212" t="str">
        <f>IF($N51&lt;&gt;"",VLOOKUP($N51,マスタ!$T$4:$W$51,3,FALSE),"")</f>
        <v/>
      </c>
      <c r="Q51" s="212" t="str">
        <f>IF($N51&lt;&gt;"",VLOOKUP($N51,マスタ!$T$4:$W$51,4,FALSE),"")</f>
        <v/>
      </c>
      <c r="R51" s="212" t="str">
        <f>IF($D51&lt;&gt;"",VLOOKUP($D51,選手登録!$N$8:$P$57,3,FALSE),"")</f>
        <v/>
      </c>
      <c r="S51" s="212" t="str">
        <f>IF($R51&lt;&gt;"",VLOOKUP($R51,選手登録!$M$8:$V$57,6,FALSE),"")</f>
        <v/>
      </c>
      <c r="T51" s="212" t="str">
        <f>IF($R51&lt;&gt;"",VLOOKUP($R51,選手登録!$M$8:$V$57,7,FALSE),"")</f>
        <v/>
      </c>
      <c r="U51" s="212" t="str">
        <f>IF($R51&lt;&gt;"",IF(VLOOKUP($R51,選手登録!$M$8:$U$57,9,FALSE)&lt;&gt;"",1,0),"")</f>
        <v/>
      </c>
      <c r="V51" s="212" t="str">
        <f>IF($E51&lt;&gt;"",VLOOKUP($E51,馬匹登録!$L$8:$N$57,3,FALSE),"")</f>
        <v/>
      </c>
      <c r="W51" s="212" t="str">
        <f>IF($V51&lt;&gt;"",IF(VLOOKUP($V51,馬匹登録!$N$8:$O$57,2,FALSE)&lt;&gt;"",1,0),"")</f>
        <v/>
      </c>
      <c r="X51" s="212" t="str">
        <f>IF($V51&lt;&gt;"",IF(VLOOKUP($V51,馬匹登録!$N$8:$Q$57,3,FALSE)&lt;&gt;"",1,0),"")</f>
        <v/>
      </c>
      <c r="Y51" s="212" t="str">
        <f>IF($V51&lt;&gt;"",IF(VLOOKUP($V51,馬匹登録!$N$8:$Q$57,4,FALSE)&lt;&gt;"",1,0),"")</f>
        <v/>
      </c>
      <c r="Z51" s="212" t="str">
        <f>IF($G51&lt;&gt;"",VLOOKUP($G51,リスト!$J$2:$K$5,2,FALSE),"")</f>
        <v/>
      </c>
      <c r="AA51" s="212" t="str">
        <f>IF($E51&lt;&gt;"",IFERROR(VLOOKUP($N51,マスタ!$H$4:$R$51,7+VLOOKUP($G51,リスト!$J$2:$K$5,2,FALSE),FALSE),"-"),"")</f>
        <v/>
      </c>
      <c r="AB51" s="212" t="str">
        <f t="shared" si="5"/>
        <v/>
      </c>
      <c r="AC51" s="212">
        <f>IF($AC$6=1,IFERROR(IF(AND($N51&lt;&gt;"",$R51&lt;&gt;""),IF(VLOOKUP($N51,マスタ!$T$4:$AC$51,4+$S51,FALSE)=0,1,0),0),1),0)</f>
        <v>0</v>
      </c>
      <c r="AD51" s="212">
        <f t="shared" si="6"/>
        <v>0</v>
      </c>
      <c r="AE51" s="212">
        <f>IF($AE$6=1,IFERROR(IF($G51="社馬連",IF(IFERROR(VLOOKUP($F51,リスト!$F$10:$H$51,2,FALSE),2)&lt;&gt;0,1,0),0),1),0)</f>
        <v>0</v>
      </c>
      <c r="AF51" s="212">
        <f t="shared" si="7"/>
        <v>0</v>
      </c>
      <c r="AG51" s="212">
        <f t="shared" si="8"/>
        <v>0</v>
      </c>
      <c r="AH51" s="212">
        <f t="shared" si="9"/>
        <v>0</v>
      </c>
      <c r="AI51" s="212">
        <f t="shared" si="10"/>
        <v>0</v>
      </c>
      <c r="AJ51" s="212">
        <f t="shared" si="11"/>
        <v>0</v>
      </c>
      <c r="AK51" s="212" t="str">
        <f t="shared" si="12"/>
        <v/>
      </c>
      <c r="AL51" s="212">
        <f t="shared" si="13"/>
        <v>0</v>
      </c>
      <c r="AM51" s="212" t="str">
        <f>IFERROR(VLOOKUP($N51,マスタ!$T$4:$AE$51,12,TRUE),"")</f>
        <v/>
      </c>
      <c r="AO51" s="212" t="str">
        <f t="shared" ca="1" si="14"/>
        <v/>
      </c>
      <c r="AP51" s="212" t="str">
        <f t="shared" ca="1" si="15"/>
        <v/>
      </c>
      <c r="AQ51" s="212" t="str">
        <f t="shared" ca="1" si="16"/>
        <v/>
      </c>
      <c r="AR51" s="212" t="str">
        <f t="shared" ca="1" si="0"/>
        <v/>
      </c>
      <c r="AS51" s="212" t="str">
        <f t="shared" ca="1" si="17"/>
        <v/>
      </c>
      <c r="AT51" s="212" t="str">
        <f t="shared" ca="1" si="18"/>
        <v/>
      </c>
      <c r="AU51" s="212" t="str">
        <f t="shared" ca="1" si="19"/>
        <v/>
      </c>
      <c r="AV51" s="212" t="str">
        <f t="shared" ca="1" si="20"/>
        <v/>
      </c>
      <c r="AX51" s="212">
        <f t="shared" si="27"/>
        <v>0</v>
      </c>
      <c r="AY51" s="212">
        <f t="shared" si="22"/>
        <v>44</v>
      </c>
      <c r="AZ51" s="212" t="str">
        <f t="shared" ca="1" si="23"/>
        <v/>
      </c>
      <c r="BA51" s="212" t="str">
        <f t="shared" si="25"/>
        <v/>
      </c>
      <c r="BB51" s="212" t="str">
        <f t="shared" si="24"/>
        <v/>
      </c>
      <c r="BC51" s="212" t="str">
        <f t="shared" ca="1" si="26"/>
        <v/>
      </c>
    </row>
    <row r="52" spans="1:55" ht="24" customHeight="1" x14ac:dyDescent="0.15">
      <c r="A52" s="234">
        <v>45</v>
      </c>
      <c r="B52" s="235" t="str">
        <f>IF($C52&lt;&gt;"",VLOOKUP($N52,マスタ!$H$4:$K$51,3,TRUE),"")</f>
        <v/>
      </c>
      <c r="C52" s="236"/>
      <c r="D52" s="236"/>
      <c r="E52" s="236"/>
      <c r="F52" s="237" t="str">
        <f>IF($R52&lt;&gt;"",IF(VLOOKUP($R52,選手登録!$A$8:$H$57,8,FALSE)&lt;&gt;"",VLOOKUP($R52,選手登録!$A$8:$H$57,8,FALSE),団体登録!$B$7),"")</f>
        <v/>
      </c>
      <c r="G52" s="238"/>
      <c r="H52" s="333" t="str">
        <f t="shared" si="3"/>
        <v/>
      </c>
      <c r="I52" s="239"/>
      <c r="J52" s="233" t="str">
        <f>IF($AC52&gt;0,リスト!$Y$22,IF($AD52=1,リスト!$Y$21,IF($AD52=2,リスト!$Y$23,IF($AE52&gt;0,リスト!$Y$18,IF($AF52&gt;0,リスト!$Y$19,IF($AG52&gt;0,リスト!$Y$20,IF($AH52&gt;0,リスト!$Y$24,IF($AI52&gt;0,リスト!$Y$25,IF($AJ52&gt;0,リスト!$Y$26,"")))))))))</f>
        <v/>
      </c>
      <c r="K52" s="211" t="s">
        <v>149</v>
      </c>
      <c r="M52" s="212">
        <f t="shared" si="4"/>
        <v>45</v>
      </c>
      <c r="N52" s="212" t="str">
        <f>IF($C52&lt;&gt;"",VLOOKUP($C52,マスタ!$L$4:$U$51,9,FALSE),"")</f>
        <v/>
      </c>
      <c r="O52" s="212" t="str">
        <f>IF($C52&lt;&gt;"",VLOOKUP($N52,マスタ!$H$4:$I$51,2,TRUE),"")</f>
        <v/>
      </c>
      <c r="P52" s="212" t="str">
        <f>IF($N52&lt;&gt;"",VLOOKUP($N52,マスタ!$T$4:$W$51,3,FALSE),"")</f>
        <v/>
      </c>
      <c r="Q52" s="212" t="str">
        <f>IF($N52&lt;&gt;"",VLOOKUP($N52,マスタ!$T$4:$W$51,4,FALSE),"")</f>
        <v/>
      </c>
      <c r="R52" s="212" t="str">
        <f>IF($D52&lt;&gt;"",VLOOKUP($D52,選手登録!$N$8:$P$57,3,FALSE),"")</f>
        <v/>
      </c>
      <c r="S52" s="212" t="str">
        <f>IF($R52&lt;&gt;"",VLOOKUP($R52,選手登録!$M$8:$V$57,6,FALSE),"")</f>
        <v/>
      </c>
      <c r="T52" s="212" t="str">
        <f>IF($R52&lt;&gt;"",VLOOKUP($R52,選手登録!$M$8:$V$57,7,FALSE),"")</f>
        <v/>
      </c>
      <c r="U52" s="212" t="str">
        <f>IF($R52&lt;&gt;"",IF(VLOOKUP($R52,選手登録!$M$8:$U$57,9,FALSE)&lt;&gt;"",1,0),"")</f>
        <v/>
      </c>
      <c r="V52" s="212" t="str">
        <f>IF($E52&lt;&gt;"",VLOOKUP($E52,馬匹登録!$L$8:$N$57,3,FALSE),"")</f>
        <v/>
      </c>
      <c r="W52" s="212" t="str">
        <f>IF($V52&lt;&gt;"",IF(VLOOKUP($V52,馬匹登録!$N$8:$O$57,2,FALSE)&lt;&gt;"",1,0),"")</f>
        <v/>
      </c>
      <c r="X52" s="212" t="str">
        <f>IF($V52&lt;&gt;"",IF(VLOOKUP($V52,馬匹登録!$N$8:$Q$57,3,FALSE)&lt;&gt;"",1,0),"")</f>
        <v/>
      </c>
      <c r="Y52" s="212" t="str">
        <f>IF($V52&lt;&gt;"",IF(VLOOKUP($V52,馬匹登録!$N$8:$Q$57,4,FALSE)&lt;&gt;"",1,0),"")</f>
        <v/>
      </c>
      <c r="Z52" s="212" t="str">
        <f>IF($G52&lt;&gt;"",VLOOKUP($G52,リスト!$J$2:$K$5,2,FALSE),"")</f>
        <v/>
      </c>
      <c r="AA52" s="212" t="str">
        <f>IF($E52&lt;&gt;"",IFERROR(VLOOKUP($N52,マスタ!$H$4:$R$51,7+VLOOKUP($G52,リスト!$J$2:$K$5,2,FALSE),FALSE),"-"),"")</f>
        <v/>
      </c>
      <c r="AB52" s="212" t="str">
        <f t="shared" si="5"/>
        <v/>
      </c>
      <c r="AC52" s="212">
        <f>IF($AC$6=1,IFERROR(IF(AND($N52&lt;&gt;"",$R52&lt;&gt;""),IF(VLOOKUP($N52,マスタ!$T$4:$AC$51,4+$S52,FALSE)=0,1,0),0),1),0)</f>
        <v>0</v>
      </c>
      <c r="AD52" s="212">
        <f t="shared" si="6"/>
        <v>0</v>
      </c>
      <c r="AE52" s="212">
        <f>IF($AE$6=1,IFERROR(IF($G52="社馬連",IF(IFERROR(VLOOKUP($F52,リスト!$F$10:$H$51,2,FALSE),2)&lt;&gt;0,1,0),0),1),0)</f>
        <v>0</v>
      </c>
      <c r="AF52" s="212">
        <f t="shared" si="7"/>
        <v>0</v>
      </c>
      <c r="AG52" s="212">
        <f t="shared" si="8"/>
        <v>0</v>
      </c>
      <c r="AH52" s="212">
        <f t="shared" si="9"/>
        <v>0</v>
      </c>
      <c r="AI52" s="212">
        <f t="shared" si="10"/>
        <v>0</v>
      </c>
      <c r="AJ52" s="212">
        <f t="shared" si="11"/>
        <v>0</v>
      </c>
      <c r="AK52" s="212" t="str">
        <f t="shared" si="12"/>
        <v/>
      </c>
      <c r="AL52" s="212">
        <f t="shared" si="13"/>
        <v>0</v>
      </c>
      <c r="AM52" s="212" t="str">
        <f>IFERROR(VLOOKUP($N52,マスタ!$T$4:$AE$51,12,TRUE),"")</f>
        <v/>
      </c>
      <c r="AO52" s="212" t="str">
        <f t="shared" ca="1" si="14"/>
        <v/>
      </c>
      <c r="AP52" s="212" t="str">
        <f t="shared" ca="1" si="15"/>
        <v/>
      </c>
      <c r="AQ52" s="212" t="str">
        <f t="shared" ca="1" si="16"/>
        <v/>
      </c>
      <c r="AR52" s="212" t="str">
        <f t="shared" ca="1" si="0"/>
        <v/>
      </c>
      <c r="AS52" s="212" t="str">
        <f t="shared" ca="1" si="17"/>
        <v/>
      </c>
      <c r="AT52" s="212" t="str">
        <f t="shared" ca="1" si="18"/>
        <v/>
      </c>
      <c r="AU52" s="212" t="str">
        <f t="shared" ca="1" si="19"/>
        <v/>
      </c>
      <c r="AV52" s="212" t="str">
        <f t="shared" ca="1" si="20"/>
        <v/>
      </c>
      <c r="AX52" s="212">
        <f t="shared" si="27"/>
        <v>0</v>
      </c>
      <c r="AY52" s="212">
        <f t="shared" si="22"/>
        <v>45</v>
      </c>
      <c r="AZ52" s="212" t="str">
        <f t="shared" ca="1" si="23"/>
        <v/>
      </c>
      <c r="BA52" s="212" t="str">
        <f t="shared" si="25"/>
        <v/>
      </c>
      <c r="BB52" s="212" t="str">
        <f t="shared" si="24"/>
        <v/>
      </c>
      <c r="BC52" s="212" t="str">
        <f t="shared" ca="1" si="26"/>
        <v/>
      </c>
    </row>
    <row r="53" spans="1:55" ht="24" customHeight="1" x14ac:dyDescent="0.15">
      <c r="A53" s="234">
        <v>46</v>
      </c>
      <c r="B53" s="235" t="str">
        <f>IF($C53&lt;&gt;"",VLOOKUP($N53,マスタ!$H$4:$K$51,3,TRUE),"")</f>
        <v/>
      </c>
      <c r="C53" s="236"/>
      <c r="D53" s="236"/>
      <c r="E53" s="236"/>
      <c r="F53" s="237" t="str">
        <f>IF($R53&lt;&gt;"",IF(VLOOKUP($R53,選手登録!$A$8:$H$57,8,FALSE)&lt;&gt;"",VLOOKUP($R53,選手登録!$A$8:$H$57,8,FALSE),団体登録!$B$7),"")</f>
        <v/>
      </c>
      <c r="G53" s="238"/>
      <c r="H53" s="333" t="str">
        <f t="shared" si="3"/>
        <v/>
      </c>
      <c r="I53" s="239"/>
      <c r="J53" s="233" t="str">
        <f>IF($AC53&gt;0,リスト!$Y$22,IF($AD53=1,リスト!$Y$21,IF($AD53=2,リスト!$Y$23,IF($AE53&gt;0,リスト!$Y$18,IF($AF53&gt;0,リスト!$Y$19,IF($AG53&gt;0,リスト!$Y$20,IF($AH53&gt;0,リスト!$Y$24,IF($AI53&gt;0,リスト!$Y$25,IF($AJ53&gt;0,リスト!$Y$26,"")))))))))</f>
        <v/>
      </c>
      <c r="K53" s="211" t="s">
        <v>149</v>
      </c>
      <c r="M53" s="212">
        <f t="shared" si="4"/>
        <v>46</v>
      </c>
      <c r="N53" s="212" t="str">
        <f>IF($C53&lt;&gt;"",VLOOKUP($C53,マスタ!$L$4:$U$51,9,FALSE),"")</f>
        <v/>
      </c>
      <c r="O53" s="212" t="str">
        <f>IF($C53&lt;&gt;"",VLOOKUP($N53,マスタ!$H$4:$I$51,2,TRUE),"")</f>
        <v/>
      </c>
      <c r="P53" s="212" t="str">
        <f>IF($N53&lt;&gt;"",VLOOKUP($N53,マスタ!$T$4:$W$51,3,FALSE),"")</f>
        <v/>
      </c>
      <c r="Q53" s="212" t="str">
        <f>IF($N53&lt;&gt;"",VLOOKUP($N53,マスタ!$T$4:$W$51,4,FALSE),"")</f>
        <v/>
      </c>
      <c r="R53" s="212" t="str">
        <f>IF($D53&lt;&gt;"",VLOOKUP($D53,選手登録!$N$8:$P$57,3,FALSE),"")</f>
        <v/>
      </c>
      <c r="S53" s="212" t="str">
        <f>IF($R53&lt;&gt;"",VLOOKUP($R53,選手登録!$M$8:$V$57,6,FALSE),"")</f>
        <v/>
      </c>
      <c r="T53" s="212" t="str">
        <f>IF($R53&lt;&gt;"",VLOOKUP($R53,選手登録!$M$8:$V$57,7,FALSE),"")</f>
        <v/>
      </c>
      <c r="U53" s="212" t="str">
        <f>IF($R53&lt;&gt;"",IF(VLOOKUP($R53,選手登録!$M$8:$U$57,9,FALSE)&lt;&gt;"",1,0),"")</f>
        <v/>
      </c>
      <c r="V53" s="212" t="str">
        <f>IF($E53&lt;&gt;"",VLOOKUP($E53,馬匹登録!$L$8:$N$57,3,FALSE),"")</f>
        <v/>
      </c>
      <c r="W53" s="212" t="str">
        <f>IF($V53&lt;&gt;"",IF(VLOOKUP($V53,馬匹登録!$N$8:$O$57,2,FALSE)&lt;&gt;"",1,0),"")</f>
        <v/>
      </c>
      <c r="X53" s="212" t="str">
        <f>IF($V53&lt;&gt;"",IF(VLOOKUP($V53,馬匹登録!$N$8:$Q$57,3,FALSE)&lt;&gt;"",1,0),"")</f>
        <v/>
      </c>
      <c r="Y53" s="212" t="str">
        <f>IF($V53&lt;&gt;"",IF(VLOOKUP($V53,馬匹登録!$N$8:$Q$57,4,FALSE)&lt;&gt;"",1,0),"")</f>
        <v/>
      </c>
      <c r="Z53" s="212" t="str">
        <f>IF($G53&lt;&gt;"",VLOOKUP($G53,リスト!$J$2:$K$5,2,FALSE),"")</f>
        <v/>
      </c>
      <c r="AA53" s="212" t="str">
        <f>IF($E53&lt;&gt;"",IFERROR(VLOOKUP($N53,マスタ!$H$4:$R$51,7+VLOOKUP($G53,リスト!$J$2:$K$5,2,FALSE),FALSE),"-"),"")</f>
        <v/>
      </c>
      <c r="AB53" s="212" t="str">
        <f t="shared" si="5"/>
        <v/>
      </c>
      <c r="AC53" s="212">
        <f>IF($AC$6=1,IFERROR(IF(AND($N53&lt;&gt;"",$R53&lt;&gt;""),IF(VLOOKUP($N53,マスタ!$T$4:$AC$51,4+$S53,FALSE)=0,1,0),0),1),0)</f>
        <v>0</v>
      </c>
      <c r="AD53" s="212">
        <f t="shared" si="6"/>
        <v>0</v>
      </c>
      <c r="AE53" s="212">
        <f>IF($AE$6=1,IFERROR(IF($G53="社馬連",IF(IFERROR(VLOOKUP($F53,リスト!$F$10:$H$51,2,FALSE),2)&lt;&gt;0,1,0),0),1),0)</f>
        <v>0</v>
      </c>
      <c r="AF53" s="212">
        <f t="shared" si="7"/>
        <v>0</v>
      </c>
      <c r="AG53" s="212">
        <f t="shared" si="8"/>
        <v>0</v>
      </c>
      <c r="AH53" s="212">
        <f t="shared" si="9"/>
        <v>0</v>
      </c>
      <c r="AI53" s="212">
        <f t="shared" si="10"/>
        <v>0</v>
      </c>
      <c r="AJ53" s="212">
        <f t="shared" si="11"/>
        <v>0</v>
      </c>
      <c r="AK53" s="212" t="str">
        <f t="shared" si="12"/>
        <v/>
      </c>
      <c r="AL53" s="212">
        <f t="shared" si="13"/>
        <v>0</v>
      </c>
      <c r="AM53" s="212" t="str">
        <f>IFERROR(VLOOKUP($N53,マスタ!$T$4:$AE$51,12,TRUE),"")</f>
        <v/>
      </c>
      <c r="AO53" s="212" t="str">
        <f t="shared" ca="1" si="14"/>
        <v/>
      </c>
      <c r="AP53" s="212" t="str">
        <f t="shared" ca="1" si="15"/>
        <v/>
      </c>
      <c r="AQ53" s="212" t="str">
        <f t="shared" ca="1" si="16"/>
        <v/>
      </c>
      <c r="AR53" s="212" t="str">
        <f t="shared" ca="1" si="0"/>
        <v/>
      </c>
      <c r="AS53" s="212" t="str">
        <f t="shared" ca="1" si="17"/>
        <v/>
      </c>
      <c r="AT53" s="212" t="str">
        <f t="shared" ca="1" si="18"/>
        <v/>
      </c>
      <c r="AU53" s="212" t="str">
        <f t="shared" ca="1" si="19"/>
        <v/>
      </c>
      <c r="AV53" s="212" t="str">
        <f t="shared" ca="1" si="20"/>
        <v/>
      </c>
      <c r="AX53" s="212">
        <f t="shared" si="27"/>
        <v>0</v>
      </c>
      <c r="AY53" s="212">
        <f t="shared" si="22"/>
        <v>46</v>
      </c>
      <c r="AZ53" s="212" t="str">
        <f t="shared" ca="1" si="23"/>
        <v/>
      </c>
      <c r="BA53" s="212" t="str">
        <f t="shared" si="25"/>
        <v/>
      </c>
      <c r="BB53" s="212" t="str">
        <f t="shared" si="24"/>
        <v/>
      </c>
      <c r="BC53" s="212" t="str">
        <f t="shared" ca="1" si="26"/>
        <v/>
      </c>
    </row>
    <row r="54" spans="1:55" ht="24" customHeight="1" x14ac:dyDescent="0.15">
      <c r="A54" s="234">
        <v>47</v>
      </c>
      <c r="B54" s="235" t="str">
        <f>IF($C54&lt;&gt;"",VLOOKUP($N54,マスタ!$H$4:$K$51,3,TRUE),"")</f>
        <v/>
      </c>
      <c r="C54" s="236"/>
      <c r="D54" s="236"/>
      <c r="E54" s="236"/>
      <c r="F54" s="237" t="str">
        <f>IF($R54&lt;&gt;"",IF(VLOOKUP($R54,選手登録!$A$8:$H$57,8,FALSE)&lt;&gt;"",VLOOKUP($R54,選手登録!$A$8:$H$57,8,FALSE),団体登録!$B$7),"")</f>
        <v/>
      </c>
      <c r="G54" s="238"/>
      <c r="H54" s="333" t="str">
        <f t="shared" si="3"/>
        <v/>
      </c>
      <c r="I54" s="239"/>
      <c r="J54" s="233" t="str">
        <f>IF($AC54&gt;0,リスト!$Y$22,IF($AD54=1,リスト!$Y$21,IF($AD54=2,リスト!$Y$23,IF($AE54&gt;0,リスト!$Y$18,IF($AF54&gt;0,リスト!$Y$19,IF($AG54&gt;0,リスト!$Y$20,IF($AH54&gt;0,リスト!$Y$24,IF($AI54&gt;0,リスト!$Y$25,IF($AJ54&gt;0,リスト!$Y$26,"")))))))))</f>
        <v/>
      </c>
      <c r="K54" s="211" t="s">
        <v>149</v>
      </c>
      <c r="M54" s="212">
        <f t="shared" si="4"/>
        <v>47</v>
      </c>
      <c r="N54" s="212" t="str">
        <f>IF($C54&lt;&gt;"",VLOOKUP($C54,マスタ!$L$4:$U$51,9,FALSE),"")</f>
        <v/>
      </c>
      <c r="O54" s="212" t="str">
        <f>IF($C54&lt;&gt;"",VLOOKUP($N54,マスタ!$H$4:$I$51,2,TRUE),"")</f>
        <v/>
      </c>
      <c r="P54" s="212" t="str">
        <f>IF($N54&lt;&gt;"",VLOOKUP($N54,マスタ!$T$4:$W$51,3,FALSE),"")</f>
        <v/>
      </c>
      <c r="Q54" s="212" t="str">
        <f>IF($N54&lt;&gt;"",VLOOKUP($N54,マスタ!$T$4:$W$51,4,FALSE),"")</f>
        <v/>
      </c>
      <c r="R54" s="212" t="str">
        <f>IF($D54&lt;&gt;"",VLOOKUP($D54,選手登録!$N$8:$P$57,3,FALSE),"")</f>
        <v/>
      </c>
      <c r="S54" s="212" t="str">
        <f>IF($R54&lt;&gt;"",VLOOKUP($R54,選手登録!$M$8:$V$57,6,FALSE),"")</f>
        <v/>
      </c>
      <c r="T54" s="212" t="str">
        <f>IF($R54&lt;&gt;"",VLOOKUP($R54,選手登録!$M$8:$V$57,7,FALSE),"")</f>
        <v/>
      </c>
      <c r="U54" s="212" t="str">
        <f>IF($R54&lt;&gt;"",IF(VLOOKUP($R54,選手登録!$M$8:$U$57,9,FALSE)&lt;&gt;"",1,0),"")</f>
        <v/>
      </c>
      <c r="V54" s="212" t="str">
        <f>IF($E54&lt;&gt;"",VLOOKUP($E54,馬匹登録!$L$8:$N$57,3,FALSE),"")</f>
        <v/>
      </c>
      <c r="W54" s="212" t="str">
        <f>IF($V54&lt;&gt;"",IF(VLOOKUP($V54,馬匹登録!$N$8:$O$57,2,FALSE)&lt;&gt;"",1,0),"")</f>
        <v/>
      </c>
      <c r="X54" s="212" t="str">
        <f>IF($V54&lt;&gt;"",IF(VLOOKUP($V54,馬匹登録!$N$8:$Q$57,3,FALSE)&lt;&gt;"",1,0),"")</f>
        <v/>
      </c>
      <c r="Y54" s="212" t="str">
        <f>IF($V54&lt;&gt;"",IF(VLOOKUP($V54,馬匹登録!$N$8:$Q$57,4,FALSE)&lt;&gt;"",1,0),"")</f>
        <v/>
      </c>
      <c r="Z54" s="212" t="str">
        <f>IF($G54&lt;&gt;"",VLOOKUP($G54,リスト!$J$2:$K$5,2,FALSE),"")</f>
        <v/>
      </c>
      <c r="AA54" s="212" t="str">
        <f>IF($E54&lt;&gt;"",IFERROR(VLOOKUP($N54,マスタ!$H$4:$R$51,7+VLOOKUP($G54,リスト!$J$2:$K$5,2,FALSE),FALSE),"-"),"")</f>
        <v/>
      </c>
      <c r="AB54" s="212" t="str">
        <f t="shared" si="5"/>
        <v/>
      </c>
      <c r="AC54" s="212">
        <f>IF($AC$6=1,IFERROR(IF(AND($N54&lt;&gt;"",$R54&lt;&gt;""),IF(VLOOKUP($N54,マスタ!$T$4:$AC$51,4+$S54,FALSE)=0,1,0),0),1),0)</f>
        <v>0</v>
      </c>
      <c r="AD54" s="212">
        <f t="shared" si="6"/>
        <v>0</v>
      </c>
      <c r="AE54" s="212">
        <f>IF($AE$6=1,IFERROR(IF($G54="社馬連",IF(IFERROR(VLOOKUP($F54,リスト!$F$10:$H$51,2,FALSE),2)&lt;&gt;0,1,0),0),1),0)</f>
        <v>0</v>
      </c>
      <c r="AF54" s="212">
        <f t="shared" si="7"/>
        <v>0</v>
      </c>
      <c r="AG54" s="212">
        <f t="shared" si="8"/>
        <v>0</v>
      </c>
      <c r="AH54" s="212">
        <f t="shared" si="9"/>
        <v>0</v>
      </c>
      <c r="AI54" s="212">
        <f t="shared" si="10"/>
        <v>0</v>
      </c>
      <c r="AJ54" s="212">
        <f t="shared" si="11"/>
        <v>0</v>
      </c>
      <c r="AK54" s="212" t="str">
        <f t="shared" si="12"/>
        <v/>
      </c>
      <c r="AL54" s="212">
        <f t="shared" si="13"/>
        <v>0</v>
      </c>
      <c r="AM54" s="212" t="str">
        <f>IFERROR(VLOOKUP($N54,マスタ!$T$4:$AE$51,12,TRUE),"")</f>
        <v/>
      </c>
      <c r="AO54" s="212" t="str">
        <f t="shared" ca="1" si="14"/>
        <v/>
      </c>
      <c r="AP54" s="212" t="str">
        <f t="shared" ca="1" si="15"/>
        <v/>
      </c>
      <c r="AQ54" s="212" t="str">
        <f t="shared" ca="1" si="16"/>
        <v/>
      </c>
      <c r="AR54" s="212" t="str">
        <f t="shared" ca="1" si="0"/>
        <v/>
      </c>
      <c r="AS54" s="212" t="str">
        <f t="shared" ca="1" si="17"/>
        <v/>
      </c>
      <c r="AT54" s="212" t="str">
        <f t="shared" ca="1" si="18"/>
        <v/>
      </c>
      <c r="AU54" s="212" t="str">
        <f t="shared" ca="1" si="19"/>
        <v/>
      </c>
      <c r="AV54" s="212" t="str">
        <f t="shared" ca="1" si="20"/>
        <v/>
      </c>
      <c r="AX54" s="212">
        <f t="shared" si="27"/>
        <v>0</v>
      </c>
      <c r="AY54" s="212">
        <f t="shared" si="22"/>
        <v>47</v>
      </c>
      <c r="AZ54" s="212" t="str">
        <f t="shared" ca="1" si="23"/>
        <v/>
      </c>
      <c r="BA54" s="212" t="str">
        <f t="shared" si="25"/>
        <v/>
      </c>
      <c r="BB54" s="212" t="str">
        <f t="shared" si="24"/>
        <v/>
      </c>
      <c r="BC54" s="212" t="str">
        <f t="shared" ca="1" si="26"/>
        <v/>
      </c>
    </row>
    <row r="55" spans="1:55" ht="24" customHeight="1" x14ac:dyDescent="0.15">
      <c r="A55" s="234">
        <v>48</v>
      </c>
      <c r="B55" s="235" t="str">
        <f>IF($C55&lt;&gt;"",VLOOKUP($N55,マスタ!$H$4:$K$51,3,TRUE),"")</f>
        <v/>
      </c>
      <c r="C55" s="236"/>
      <c r="D55" s="236"/>
      <c r="E55" s="236"/>
      <c r="F55" s="237" t="str">
        <f>IF($R55&lt;&gt;"",IF(VLOOKUP($R55,選手登録!$A$8:$H$57,8,FALSE)&lt;&gt;"",VLOOKUP($R55,選手登録!$A$8:$H$57,8,FALSE),団体登録!$B$7),"")</f>
        <v/>
      </c>
      <c r="G55" s="238"/>
      <c r="H55" s="333" t="str">
        <f t="shared" si="3"/>
        <v/>
      </c>
      <c r="I55" s="239"/>
      <c r="J55" s="233" t="str">
        <f>IF($AC55&gt;0,リスト!$Y$22,IF($AD55=1,リスト!$Y$21,IF($AD55=2,リスト!$Y$23,IF($AE55&gt;0,リスト!$Y$18,IF($AF55&gt;0,リスト!$Y$19,IF($AG55&gt;0,リスト!$Y$20,IF($AH55&gt;0,リスト!$Y$24,IF($AI55&gt;0,リスト!$Y$25,IF($AJ55&gt;0,リスト!$Y$26,"")))))))))</f>
        <v/>
      </c>
      <c r="K55" s="211" t="s">
        <v>149</v>
      </c>
      <c r="M55" s="212">
        <f t="shared" si="4"/>
        <v>48</v>
      </c>
      <c r="N55" s="212" t="str">
        <f>IF($C55&lt;&gt;"",VLOOKUP($C55,マスタ!$L$4:$U$51,9,FALSE),"")</f>
        <v/>
      </c>
      <c r="O55" s="212" t="str">
        <f>IF($C55&lt;&gt;"",VLOOKUP($N55,マスタ!$H$4:$I$51,2,TRUE),"")</f>
        <v/>
      </c>
      <c r="P55" s="212" t="str">
        <f>IF($N55&lt;&gt;"",VLOOKUP($N55,マスタ!$T$4:$W$51,3,FALSE),"")</f>
        <v/>
      </c>
      <c r="Q55" s="212" t="str">
        <f>IF($N55&lt;&gt;"",VLOOKUP($N55,マスタ!$T$4:$W$51,4,FALSE),"")</f>
        <v/>
      </c>
      <c r="R55" s="212" t="str">
        <f>IF($D55&lt;&gt;"",VLOOKUP($D55,選手登録!$N$8:$P$57,3,FALSE),"")</f>
        <v/>
      </c>
      <c r="S55" s="212" t="str">
        <f>IF($R55&lt;&gt;"",VLOOKUP($R55,選手登録!$M$8:$V$57,6,FALSE),"")</f>
        <v/>
      </c>
      <c r="T55" s="212" t="str">
        <f>IF($R55&lt;&gt;"",VLOOKUP($R55,選手登録!$M$8:$V$57,7,FALSE),"")</f>
        <v/>
      </c>
      <c r="U55" s="212" t="str">
        <f>IF($R55&lt;&gt;"",IF(VLOOKUP($R55,選手登録!$M$8:$U$57,9,FALSE)&lt;&gt;"",1,0),"")</f>
        <v/>
      </c>
      <c r="V55" s="212" t="str">
        <f>IF($E55&lt;&gt;"",VLOOKUP($E55,馬匹登録!$L$8:$N$57,3,FALSE),"")</f>
        <v/>
      </c>
      <c r="W55" s="212" t="str">
        <f>IF($V55&lt;&gt;"",IF(VLOOKUP($V55,馬匹登録!$N$8:$O$57,2,FALSE)&lt;&gt;"",1,0),"")</f>
        <v/>
      </c>
      <c r="X55" s="212" t="str">
        <f>IF($V55&lt;&gt;"",IF(VLOOKUP($V55,馬匹登録!$N$8:$Q$57,3,FALSE)&lt;&gt;"",1,0),"")</f>
        <v/>
      </c>
      <c r="Y55" s="212" t="str">
        <f>IF($V55&lt;&gt;"",IF(VLOOKUP($V55,馬匹登録!$N$8:$Q$57,4,FALSE)&lt;&gt;"",1,0),"")</f>
        <v/>
      </c>
      <c r="Z55" s="212" t="str">
        <f>IF($G55&lt;&gt;"",VLOOKUP($G55,リスト!$J$2:$K$5,2,FALSE),"")</f>
        <v/>
      </c>
      <c r="AA55" s="212" t="str">
        <f>IF($E55&lt;&gt;"",IFERROR(VLOOKUP($N55,マスタ!$H$4:$R$51,7+VLOOKUP($G55,リスト!$J$2:$K$5,2,FALSE),FALSE),"-"),"")</f>
        <v/>
      </c>
      <c r="AB55" s="212" t="str">
        <f t="shared" si="5"/>
        <v/>
      </c>
      <c r="AC55" s="212">
        <f>IF($AC$6=1,IFERROR(IF(AND($N55&lt;&gt;"",$R55&lt;&gt;""),IF(VLOOKUP($N55,マスタ!$T$4:$AC$51,4+$S55,FALSE)=0,1,0),0),1),0)</f>
        <v>0</v>
      </c>
      <c r="AD55" s="212">
        <f t="shared" si="6"/>
        <v>0</v>
      </c>
      <c r="AE55" s="212">
        <f>IF($AE$6=1,IFERROR(IF($G55="社馬連",IF(IFERROR(VLOOKUP($F55,リスト!$F$10:$H$51,2,FALSE),2)&lt;&gt;0,1,0),0),1),0)</f>
        <v>0</v>
      </c>
      <c r="AF55" s="212">
        <f t="shared" si="7"/>
        <v>0</v>
      </c>
      <c r="AG55" s="212">
        <f t="shared" si="8"/>
        <v>0</v>
      </c>
      <c r="AH55" s="212">
        <f t="shared" si="9"/>
        <v>0</v>
      </c>
      <c r="AI55" s="212">
        <f t="shared" si="10"/>
        <v>0</v>
      </c>
      <c r="AJ55" s="212">
        <f t="shared" si="11"/>
        <v>0</v>
      </c>
      <c r="AK55" s="212" t="str">
        <f t="shared" si="12"/>
        <v/>
      </c>
      <c r="AL55" s="212">
        <f t="shared" si="13"/>
        <v>0</v>
      </c>
      <c r="AM55" s="212" t="str">
        <f>IFERROR(VLOOKUP($N55,マスタ!$T$4:$AE$51,12,TRUE),"")</f>
        <v/>
      </c>
      <c r="AO55" s="212" t="str">
        <f t="shared" ca="1" si="14"/>
        <v/>
      </c>
      <c r="AP55" s="212" t="str">
        <f t="shared" ca="1" si="15"/>
        <v/>
      </c>
      <c r="AQ55" s="212" t="str">
        <f t="shared" ca="1" si="16"/>
        <v/>
      </c>
      <c r="AR55" s="212" t="str">
        <f t="shared" ca="1" si="0"/>
        <v/>
      </c>
      <c r="AS55" s="212" t="str">
        <f t="shared" ca="1" si="17"/>
        <v/>
      </c>
      <c r="AT55" s="212" t="str">
        <f t="shared" ca="1" si="18"/>
        <v/>
      </c>
      <c r="AU55" s="212" t="str">
        <f t="shared" ca="1" si="19"/>
        <v/>
      </c>
      <c r="AV55" s="212" t="str">
        <f t="shared" ca="1" si="20"/>
        <v/>
      </c>
      <c r="AX55" s="212">
        <f t="shared" si="27"/>
        <v>0</v>
      </c>
      <c r="AY55" s="212">
        <f t="shared" si="22"/>
        <v>48</v>
      </c>
      <c r="AZ55" s="212" t="str">
        <f t="shared" ca="1" si="23"/>
        <v/>
      </c>
      <c r="BA55" s="212" t="str">
        <f t="shared" si="25"/>
        <v/>
      </c>
      <c r="BB55" s="212" t="str">
        <f t="shared" si="24"/>
        <v/>
      </c>
      <c r="BC55" s="212" t="str">
        <f t="shared" ca="1" si="26"/>
        <v/>
      </c>
    </row>
    <row r="56" spans="1:55" ht="24" customHeight="1" x14ac:dyDescent="0.15">
      <c r="A56" s="234">
        <v>49</v>
      </c>
      <c r="B56" s="235" t="str">
        <f>IF($C56&lt;&gt;"",VLOOKUP($N56,マスタ!$H$4:$K$51,3,TRUE),"")</f>
        <v/>
      </c>
      <c r="C56" s="236"/>
      <c r="D56" s="236"/>
      <c r="E56" s="236"/>
      <c r="F56" s="237" t="str">
        <f>IF($R56&lt;&gt;"",IF(VLOOKUP($R56,選手登録!$A$8:$H$57,8,FALSE)&lt;&gt;"",VLOOKUP($R56,選手登録!$A$8:$H$57,8,FALSE),団体登録!$B$7),"")</f>
        <v/>
      </c>
      <c r="G56" s="238"/>
      <c r="H56" s="333" t="str">
        <f t="shared" si="3"/>
        <v/>
      </c>
      <c r="I56" s="239"/>
      <c r="J56" s="233" t="str">
        <f>IF($AC56&gt;0,リスト!$Y$22,IF($AD56=1,リスト!$Y$21,IF($AD56=2,リスト!$Y$23,IF($AE56&gt;0,リスト!$Y$18,IF($AF56&gt;0,リスト!$Y$19,IF($AG56&gt;0,リスト!$Y$20,IF($AH56&gt;0,リスト!$Y$24,IF($AI56&gt;0,リスト!$Y$25,IF($AJ56&gt;0,リスト!$Y$26,"")))))))))</f>
        <v/>
      </c>
      <c r="K56" s="211" t="s">
        <v>149</v>
      </c>
      <c r="M56" s="212">
        <f t="shared" si="4"/>
        <v>49</v>
      </c>
      <c r="N56" s="212" t="str">
        <f>IF($C56&lt;&gt;"",VLOOKUP($C56,マスタ!$L$4:$U$51,9,FALSE),"")</f>
        <v/>
      </c>
      <c r="O56" s="212" t="str">
        <f>IF($C56&lt;&gt;"",VLOOKUP($N56,マスタ!$H$4:$I$51,2,TRUE),"")</f>
        <v/>
      </c>
      <c r="P56" s="212" t="str">
        <f>IF($N56&lt;&gt;"",VLOOKUP($N56,マスタ!$T$4:$W$51,3,FALSE),"")</f>
        <v/>
      </c>
      <c r="Q56" s="212" t="str">
        <f>IF($N56&lt;&gt;"",VLOOKUP($N56,マスタ!$T$4:$W$51,4,FALSE),"")</f>
        <v/>
      </c>
      <c r="R56" s="212" t="str">
        <f>IF($D56&lt;&gt;"",VLOOKUP($D56,選手登録!$N$8:$P$57,3,FALSE),"")</f>
        <v/>
      </c>
      <c r="S56" s="212" t="str">
        <f>IF($R56&lt;&gt;"",VLOOKUP($R56,選手登録!$M$8:$V$57,6,FALSE),"")</f>
        <v/>
      </c>
      <c r="T56" s="212" t="str">
        <f>IF($R56&lt;&gt;"",VLOOKUP($R56,選手登録!$M$8:$V$57,7,FALSE),"")</f>
        <v/>
      </c>
      <c r="U56" s="212" t="str">
        <f>IF($R56&lt;&gt;"",IF(VLOOKUP($R56,選手登録!$M$8:$U$57,9,FALSE)&lt;&gt;"",1,0),"")</f>
        <v/>
      </c>
      <c r="V56" s="212" t="str">
        <f>IF($E56&lt;&gt;"",VLOOKUP($E56,馬匹登録!$L$8:$N$57,3,FALSE),"")</f>
        <v/>
      </c>
      <c r="W56" s="212" t="str">
        <f>IF($V56&lt;&gt;"",IF(VLOOKUP($V56,馬匹登録!$N$8:$O$57,2,FALSE)&lt;&gt;"",1,0),"")</f>
        <v/>
      </c>
      <c r="X56" s="212" t="str">
        <f>IF($V56&lt;&gt;"",IF(VLOOKUP($V56,馬匹登録!$N$8:$Q$57,3,FALSE)&lt;&gt;"",1,0),"")</f>
        <v/>
      </c>
      <c r="Y56" s="212" t="str">
        <f>IF($V56&lt;&gt;"",IF(VLOOKUP($V56,馬匹登録!$N$8:$Q$57,4,FALSE)&lt;&gt;"",1,0),"")</f>
        <v/>
      </c>
      <c r="Z56" s="212" t="str">
        <f>IF($G56&lt;&gt;"",VLOOKUP($G56,リスト!$J$2:$K$5,2,FALSE),"")</f>
        <v/>
      </c>
      <c r="AA56" s="212" t="str">
        <f>IF($E56&lt;&gt;"",IFERROR(VLOOKUP($N56,マスタ!$H$4:$R$51,7+VLOOKUP($G56,リスト!$J$2:$K$5,2,FALSE),FALSE),"-"),"")</f>
        <v/>
      </c>
      <c r="AB56" s="212" t="str">
        <f t="shared" si="5"/>
        <v/>
      </c>
      <c r="AC56" s="212">
        <f>IF($AC$6=1,IFERROR(IF(AND($N56&lt;&gt;"",$R56&lt;&gt;""),IF(VLOOKUP($N56,マスタ!$T$4:$AC$51,4+$S56,FALSE)=0,1,0),0),1),0)</f>
        <v>0</v>
      </c>
      <c r="AD56" s="212">
        <f t="shared" si="6"/>
        <v>0</v>
      </c>
      <c r="AE56" s="212">
        <f>IF($AE$6=1,IFERROR(IF($G56="社馬連",IF(IFERROR(VLOOKUP($F56,リスト!$F$10:$H$51,2,FALSE),2)&lt;&gt;0,1,0),0),1),0)</f>
        <v>0</v>
      </c>
      <c r="AF56" s="212">
        <f t="shared" si="7"/>
        <v>0</v>
      </c>
      <c r="AG56" s="212">
        <f t="shared" si="8"/>
        <v>0</v>
      </c>
      <c r="AH56" s="212">
        <f t="shared" si="9"/>
        <v>0</v>
      </c>
      <c r="AI56" s="212">
        <f t="shared" si="10"/>
        <v>0</v>
      </c>
      <c r="AJ56" s="212">
        <f t="shared" si="11"/>
        <v>0</v>
      </c>
      <c r="AK56" s="212" t="str">
        <f t="shared" si="12"/>
        <v/>
      </c>
      <c r="AL56" s="212">
        <f t="shared" si="13"/>
        <v>0</v>
      </c>
      <c r="AM56" s="212" t="str">
        <f>IFERROR(VLOOKUP($N56,マスタ!$T$4:$AE$51,12,TRUE),"")</f>
        <v/>
      </c>
      <c r="AO56" s="212" t="str">
        <f t="shared" ca="1" si="14"/>
        <v/>
      </c>
      <c r="AP56" s="212" t="str">
        <f t="shared" ca="1" si="15"/>
        <v/>
      </c>
      <c r="AQ56" s="212" t="str">
        <f t="shared" ca="1" si="16"/>
        <v/>
      </c>
      <c r="AR56" s="212" t="str">
        <f t="shared" ca="1" si="0"/>
        <v/>
      </c>
      <c r="AS56" s="212" t="str">
        <f t="shared" ca="1" si="17"/>
        <v/>
      </c>
      <c r="AT56" s="212" t="str">
        <f t="shared" ca="1" si="18"/>
        <v/>
      </c>
      <c r="AU56" s="212" t="str">
        <f t="shared" ca="1" si="19"/>
        <v/>
      </c>
      <c r="AV56" s="212" t="str">
        <f t="shared" ca="1" si="20"/>
        <v/>
      </c>
      <c r="AX56" s="212">
        <f t="shared" si="27"/>
        <v>0</v>
      </c>
      <c r="AY56" s="212">
        <f t="shared" si="22"/>
        <v>49</v>
      </c>
      <c r="AZ56" s="212" t="str">
        <f t="shared" ca="1" si="23"/>
        <v/>
      </c>
      <c r="BA56" s="212" t="str">
        <f t="shared" si="25"/>
        <v/>
      </c>
      <c r="BB56" s="212" t="str">
        <f t="shared" si="24"/>
        <v/>
      </c>
      <c r="BC56" s="212" t="str">
        <f t="shared" ca="1" si="26"/>
        <v/>
      </c>
    </row>
    <row r="57" spans="1:55" ht="24" customHeight="1" x14ac:dyDescent="0.15">
      <c r="A57" s="234">
        <v>50</v>
      </c>
      <c r="B57" s="235" t="str">
        <f>IF($C57&lt;&gt;"",VLOOKUP($N57,マスタ!$H$4:$K$51,3,TRUE),"")</f>
        <v/>
      </c>
      <c r="C57" s="236"/>
      <c r="D57" s="236"/>
      <c r="E57" s="236"/>
      <c r="F57" s="237" t="str">
        <f>IF($R57&lt;&gt;"",IF(VLOOKUP($R57,選手登録!$A$8:$H$57,8,FALSE)&lt;&gt;"",VLOOKUP($R57,選手登録!$A$8:$H$57,8,FALSE),団体登録!$B$7),"")</f>
        <v/>
      </c>
      <c r="G57" s="238"/>
      <c r="H57" s="333" t="str">
        <f t="shared" si="3"/>
        <v/>
      </c>
      <c r="I57" s="239"/>
      <c r="J57" s="233" t="str">
        <f>IF($AC57&gt;0,リスト!$Y$22,IF($AD57=1,リスト!$Y$21,IF($AD57=2,リスト!$Y$23,IF($AE57&gt;0,リスト!$Y$18,IF($AF57&gt;0,リスト!$Y$19,IF($AG57&gt;0,リスト!$Y$20,IF($AH57&gt;0,リスト!$Y$24,IF($AI57&gt;0,リスト!$Y$25,IF($AJ57&gt;0,リスト!$Y$26,"")))))))))</f>
        <v/>
      </c>
      <c r="K57" s="211" t="s">
        <v>149</v>
      </c>
      <c r="M57" s="212">
        <f t="shared" si="4"/>
        <v>50</v>
      </c>
      <c r="N57" s="212" t="str">
        <f>IF($C57&lt;&gt;"",VLOOKUP($C57,マスタ!$L$4:$U$51,9,FALSE),"")</f>
        <v/>
      </c>
      <c r="O57" s="212" t="str">
        <f>IF($C57&lt;&gt;"",VLOOKUP($N57,マスタ!$H$4:$I$51,2,TRUE),"")</f>
        <v/>
      </c>
      <c r="P57" s="212" t="str">
        <f>IF($N57&lt;&gt;"",VLOOKUP($N57,マスタ!$T$4:$W$51,3,FALSE),"")</f>
        <v/>
      </c>
      <c r="Q57" s="212" t="str">
        <f>IF($N57&lt;&gt;"",VLOOKUP($N57,マスタ!$T$4:$W$51,4,FALSE),"")</f>
        <v/>
      </c>
      <c r="R57" s="212" t="str">
        <f>IF($D57&lt;&gt;"",VLOOKUP($D57,選手登録!$N$8:$P$57,3,FALSE),"")</f>
        <v/>
      </c>
      <c r="S57" s="212" t="str">
        <f>IF($R57&lt;&gt;"",VLOOKUP($R57,選手登録!$M$8:$V$57,6,FALSE),"")</f>
        <v/>
      </c>
      <c r="T57" s="212" t="str">
        <f>IF($R57&lt;&gt;"",VLOOKUP($R57,選手登録!$M$8:$V$57,7,FALSE),"")</f>
        <v/>
      </c>
      <c r="U57" s="212" t="str">
        <f>IF($R57&lt;&gt;"",IF(VLOOKUP($R57,選手登録!$M$8:$U$57,9,FALSE)&lt;&gt;"",1,0),"")</f>
        <v/>
      </c>
      <c r="V57" s="212" t="str">
        <f>IF($E57&lt;&gt;"",VLOOKUP($E57,馬匹登録!$L$8:$N$57,3,FALSE),"")</f>
        <v/>
      </c>
      <c r="W57" s="212" t="str">
        <f>IF($V57&lt;&gt;"",IF(VLOOKUP($V57,馬匹登録!$N$8:$O$57,2,FALSE)&lt;&gt;"",1,0),"")</f>
        <v/>
      </c>
      <c r="X57" s="212" t="str">
        <f>IF($V57&lt;&gt;"",IF(VLOOKUP($V57,馬匹登録!$N$8:$Q$57,3,FALSE)&lt;&gt;"",1,0),"")</f>
        <v/>
      </c>
      <c r="Y57" s="212" t="str">
        <f>IF($V57&lt;&gt;"",IF(VLOOKUP($V57,馬匹登録!$N$8:$Q$57,4,FALSE)&lt;&gt;"",1,0),"")</f>
        <v/>
      </c>
      <c r="Z57" s="212" t="str">
        <f>IF($G57&lt;&gt;"",VLOOKUP($G57,リスト!$J$2:$K$5,2,FALSE),"")</f>
        <v/>
      </c>
      <c r="AA57" s="212" t="str">
        <f>IF($E57&lt;&gt;"",IFERROR(VLOOKUP($N57,マスタ!$H$4:$R$51,7+VLOOKUP($G57,リスト!$J$2:$K$5,2,FALSE),FALSE),"-"),"")</f>
        <v/>
      </c>
      <c r="AB57" s="212" t="str">
        <f t="shared" si="5"/>
        <v/>
      </c>
      <c r="AC57" s="212">
        <f>IF($AC$6=1,IFERROR(IF(AND($N57&lt;&gt;"",$R57&lt;&gt;""),IF(VLOOKUP($N57,マスタ!$T$4:$AC$51,4+$S57,FALSE)=0,1,0),0),1),0)</f>
        <v>0</v>
      </c>
      <c r="AD57" s="212">
        <f t="shared" si="6"/>
        <v>0</v>
      </c>
      <c r="AE57" s="212">
        <f>IF($AE$6=1,IFERROR(IF($G57="社馬連",IF(IFERROR(VLOOKUP($F57,リスト!$F$10:$H$51,2,FALSE),2)&lt;&gt;0,1,0),0),1),0)</f>
        <v>0</v>
      </c>
      <c r="AF57" s="212">
        <f t="shared" si="7"/>
        <v>0</v>
      </c>
      <c r="AG57" s="212">
        <f t="shared" si="8"/>
        <v>0</v>
      </c>
      <c r="AH57" s="212">
        <f t="shared" si="9"/>
        <v>0</v>
      </c>
      <c r="AI57" s="212">
        <f t="shared" si="10"/>
        <v>0</v>
      </c>
      <c r="AJ57" s="212">
        <f t="shared" si="11"/>
        <v>0</v>
      </c>
      <c r="AK57" s="212" t="str">
        <f t="shared" si="12"/>
        <v/>
      </c>
      <c r="AL57" s="212">
        <f t="shared" si="13"/>
        <v>0</v>
      </c>
      <c r="AM57" s="212" t="str">
        <f>IFERROR(VLOOKUP($N57,マスタ!$T$4:$AE$51,12,TRUE),"")</f>
        <v/>
      </c>
      <c r="AO57" s="212" t="str">
        <f t="shared" ca="1" si="14"/>
        <v/>
      </c>
      <c r="AP57" s="212" t="str">
        <f t="shared" ca="1" si="15"/>
        <v/>
      </c>
      <c r="AQ57" s="212" t="str">
        <f t="shared" ca="1" si="16"/>
        <v/>
      </c>
      <c r="AR57" s="212" t="str">
        <f t="shared" ca="1" si="0"/>
        <v/>
      </c>
      <c r="AS57" s="212" t="str">
        <f t="shared" ca="1" si="17"/>
        <v/>
      </c>
      <c r="AT57" s="212" t="str">
        <f t="shared" ca="1" si="18"/>
        <v/>
      </c>
      <c r="AU57" s="212" t="str">
        <f t="shared" ca="1" si="19"/>
        <v/>
      </c>
      <c r="AV57" s="212" t="str">
        <f t="shared" ca="1" si="20"/>
        <v/>
      </c>
      <c r="AX57" s="212">
        <f t="shared" si="27"/>
        <v>0</v>
      </c>
      <c r="AY57" s="212">
        <f t="shared" si="22"/>
        <v>50</v>
      </c>
      <c r="AZ57" s="212" t="str">
        <f t="shared" ca="1" si="23"/>
        <v/>
      </c>
      <c r="BA57" s="212" t="str">
        <f t="shared" si="25"/>
        <v/>
      </c>
      <c r="BB57" s="212" t="str">
        <f t="shared" si="24"/>
        <v/>
      </c>
      <c r="BC57" s="212" t="str">
        <f t="shared" ca="1" si="26"/>
        <v/>
      </c>
    </row>
    <row r="58" spans="1:55" ht="24" customHeight="1" x14ac:dyDescent="0.15">
      <c r="A58" s="234">
        <v>51</v>
      </c>
      <c r="B58" s="235" t="str">
        <f>IF($C58&lt;&gt;"",VLOOKUP($N58,マスタ!$H$4:$K$51,3,TRUE),"")</f>
        <v/>
      </c>
      <c r="C58" s="236"/>
      <c r="D58" s="236"/>
      <c r="E58" s="236"/>
      <c r="F58" s="237" t="str">
        <f>IF($R58&lt;&gt;"",IF(VLOOKUP($R58,選手登録!$A$8:$H$57,8,FALSE)&lt;&gt;"",VLOOKUP($R58,選手登録!$A$8:$H$57,8,FALSE),団体登録!$B$7),"")</f>
        <v/>
      </c>
      <c r="G58" s="238"/>
      <c r="H58" s="333" t="str">
        <f t="shared" si="3"/>
        <v/>
      </c>
      <c r="I58" s="239"/>
      <c r="J58" s="233" t="str">
        <f>IF($AC58&gt;0,リスト!$Y$22,IF($AD58=1,リスト!$Y$21,IF($AD58=2,リスト!$Y$23,IF($AE58&gt;0,リスト!$Y$18,IF($AF58&gt;0,リスト!$Y$19,IF($AG58&gt;0,リスト!$Y$20,IF($AH58&gt;0,リスト!$Y$24,IF($AI58&gt;0,リスト!$Y$25,IF($AJ58&gt;0,リスト!$Y$26,"")))))))))</f>
        <v/>
      </c>
      <c r="K58" s="211" t="s">
        <v>149</v>
      </c>
      <c r="M58" s="212">
        <f t="shared" si="4"/>
        <v>51</v>
      </c>
      <c r="N58" s="212" t="str">
        <f>IF($C58&lt;&gt;"",VLOOKUP($C58,マスタ!$L$4:$U$51,9,FALSE),"")</f>
        <v/>
      </c>
      <c r="O58" s="212" t="str">
        <f>IF($C58&lt;&gt;"",VLOOKUP($N58,マスタ!$H$4:$I$51,2,TRUE),"")</f>
        <v/>
      </c>
      <c r="P58" s="212" t="str">
        <f>IF($N58&lt;&gt;"",VLOOKUP($N58,マスタ!$T$4:$W$51,3,FALSE),"")</f>
        <v/>
      </c>
      <c r="Q58" s="212" t="str">
        <f>IF($N58&lt;&gt;"",VLOOKUP($N58,マスタ!$T$4:$W$51,4,FALSE),"")</f>
        <v/>
      </c>
      <c r="R58" s="212" t="str">
        <f>IF($D58&lt;&gt;"",VLOOKUP($D58,選手登録!$N$8:$P$57,3,FALSE),"")</f>
        <v/>
      </c>
      <c r="S58" s="212" t="str">
        <f>IF($R58&lt;&gt;"",VLOOKUP($R58,選手登録!$M$8:$V$57,6,FALSE),"")</f>
        <v/>
      </c>
      <c r="T58" s="212" t="str">
        <f>IF($R58&lt;&gt;"",VLOOKUP($R58,選手登録!$M$8:$V$57,7,FALSE),"")</f>
        <v/>
      </c>
      <c r="U58" s="212" t="str">
        <f>IF($R58&lt;&gt;"",IF(VLOOKUP($R58,選手登録!$M$8:$U$57,9,FALSE)&lt;&gt;"",1,0),"")</f>
        <v/>
      </c>
      <c r="V58" s="212" t="str">
        <f>IF($E58&lt;&gt;"",VLOOKUP($E58,馬匹登録!$L$8:$N$57,3,FALSE),"")</f>
        <v/>
      </c>
      <c r="W58" s="212" t="str">
        <f>IF($V58&lt;&gt;"",IF(VLOOKUP($V58,馬匹登録!$N$8:$O$57,2,FALSE)&lt;&gt;"",1,0),"")</f>
        <v/>
      </c>
      <c r="X58" s="212" t="str">
        <f>IF($V58&lt;&gt;"",IF(VLOOKUP($V58,馬匹登録!$N$8:$Q$57,3,FALSE)&lt;&gt;"",1,0),"")</f>
        <v/>
      </c>
      <c r="Y58" s="212" t="str">
        <f>IF($V58&lt;&gt;"",IF(VLOOKUP($V58,馬匹登録!$N$8:$Q$57,4,FALSE)&lt;&gt;"",1,0),"")</f>
        <v/>
      </c>
      <c r="Z58" s="212" t="str">
        <f>IF($G58&lt;&gt;"",VLOOKUP($G58,リスト!$J$2:$K$5,2,FALSE),"")</f>
        <v/>
      </c>
      <c r="AA58" s="212" t="str">
        <f>IF($E58&lt;&gt;"",IFERROR(VLOOKUP($N58,マスタ!$H$4:$R$51,7+VLOOKUP($G58,リスト!$J$2:$K$5,2,FALSE),FALSE),"-"),"")</f>
        <v/>
      </c>
      <c r="AB58" s="212" t="str">
        <f t="shared" si="5"/>
        <v/>
      </c>
      <c r="AC58" s="212">
        <f>IF($AC$6=1,IFERROR(IF(AND($N58&lt;&gt;"",$R58&lt;&gt;""),IF(VLOOKUP($N58,マスタ!$T$4:$AC$51,4+$S58,FALSE)=0,1,0),0),1),0)</f>
        <v>0</v>
      </c>
      <c r="AD58" s="212">
        <f t="shared" si="6"/>
        <v>0</v>
      </c>
      <c r="AE58" s="212">
        <f>IF($AE$6=1,IFERROR(IF($G58="社馬連",IF(IFERROR(VLOOKUP($F58,リスト!$F$10:$H$51,2,FALSE),2)&lt;&gt;0,1,0),0),1),0)</f>
        <v>0</v>
      </c>
      <c r="AF58" s="212">
        <f t="shared" si="7"/>
        <v>0</v>
      </c>
      <c r="AG58" s="212">
        <f t="shared" si="8"/>
        <v>0</v>
      </c>
      <c r="AH58" s="212">
        <f t="shared" si="9"/>
        <v>0</v>
      </c>
      <c r="AI58" s="212">
        <f t="shared" si="10"/>
        <v>0</v>
      </c>
      <c r="AJ58" s="212">
        <f t="shared" si="11"/>
        <v>0</v>
      </c>
      <c r="AK58" s="212" t="str">
        <f t="shared" si="12"/>
        <v/>
      </c>
      <c r="AL58" s="212">
        <f t="shared" si="13"/>
        <v>0</v>
      </c>
      <c r="AM58" s="212" t="str">
        <f>IFERROR(VLOOKUP($N58,マスタ!$T$4:$AE$51,12,TRUE),"")</f>
        <v/>
      </c>
      <c r="AO58" s="212" t="str">
        <f t="shared" ca="1" si="14"/>
        <v/>
      </c>
      <c r="AP58" s="212" t="str">
        <f t="shared" ca="1" si="15"/>
        <v/>
      </c>
      <c r="AQ58" s="212" t="str">
        <f t="shared" ca="1" si="16"/>
        <v/>
      </c>
      <c r="AR58" s="212" t="str">
        <f t="shared" ca="1" si="0"/>
        <v/>
      </c>
      <c r="AS58" s="212" t="str">
        <f t="shared" ca="1" si="17"/>
        <v/>
      </c>
      <c r="AT58" s="212" t="str">
        <f t="shared" ca="1" si="18"/>
        <v/>
      </c>
      <c r="AU58" s="212" t="str">
        <f t="shared" ca="1" si="19"/>
        <v/>
      </c>
      <c r="AV58" s="212" t="str">
        <f t="shared" ca="1" si="20"/>
        <v/>
      </c>
      <c r="AX58" s="212">
        <f t="shared" si="27"/>
        <v>0</v>
      </c>
      <c r="AY58" s="212">
        <f t="shared" si="22"/>
        <v>51</v>
      </c>
      <c r="AZ58" s="212" t="str">
        <f t="shared" ca="1" si="23"/>
        <v/>
      </c>
      <c r="BA58" s="212" t="str">
        <f t="shared" si="25"/>
        <v/>
      </c>
      <c r="BB58" s="212" t="str">
        <f t="shared" si="24"/>
        <v/>
      </c>
      <c r="BC58" s="212" t="str">
        <f t="shared" ca="1" si="26"/>
        <v/>
      </c>
    </row>
    <row r="59" spans="1:55" ht="24" customHeight="1" x14ac:dyDescent="0.15">
      <c r="A59" s="234">
        <v>52</v>
      </c>
      <c r="B59" s="235" t="str">
        <f>IF($C59&lt;&gt;"",VLOOKUP($N59,マスタ!$H$4:$K$51,3,TRUE),"")</f>
        <v/>
      </c>
      <c r="C59" s="236"/>
      <c r="D59" s="236"/>
      <c r="E59" s="236"/>
      <c r="F59" s="237" t="str">
        <f>IF($R59&lt;&gt;"",IF(VLOOKUP($R59,選手登録!$A$8:$H$57,8,FALSE)&lt;&gt;"",VLOOKUP($R59,選手登録!$A$8:$H$57,8,FALSE),団体登録!$B$7),"")</f>
        <v/>
      </c>
      <c r="G59" s="238"/>
      <c r="H59" s="333" t="str">
        <f t="shared" si="3"/>
        <v/>
      </c>
      <c r="I59" s="239"/>
      <c r="J59" s="233" t="str">
        <f>IF($AC59&gt;0,リスト!$Y$22,IF($AD59=1,リスト!$Y$21,IF($AD59=2,リスト!$Y$23,IF($AE59&gt;0,リスト!$Y$18,IF($AF59&gt;0,リスト!$Y$19,IF($AG59&gt;0,リスト!$Y$20,IF($AH59&gt;0,リスト!$Y$24,IF($AI59&gt;0,リスト!$Y$25,IF($AJ59&gt;0,リスト!$Y$26,"")))))))))</f>
        <v/>
      </c>
      <c r="K59" s="211" t="s">
        <v>149</v>
      </c>
      <c r="M59" s="212">
        <f t="shared" si="4"/>
        <v>52</v>
      </c>
      <c r="N59" s="212" t="str">
        <f>IF($C59&lt;&gt;"",VLOOKUP($C59,マスタ!$L$4:$U$51,9,FALSE),"")</f>
        <v/>
      </c>
      <c r="O59" s="212" t="str">
        <f>IF($C59&lt;&gt;"",VLOOKUP($N59,マスタ!$H$4:$I$51,2,TRUE),"")</f>
        <v/>
      </c>
      <c r="P59" s="212" t="str">
        <f>IF($N59&lt;&gt;"",VLOOKUP($N59,マスタ!$T$4:$W$51,3,FALSE),"")</f>
        <v/>
      </c>
      <c r="Q59" s="212" t="str">
        <f>IF($N59&lt;&gt;"",VLOOKUP($N59,マスタ!$T$4:$W$51,4,FALSE),"")</f>
        <v/>
      </c>
      <c r="R59" s="212" t="str">
        <f>IF($D59&lt;&gt;"",VLOOKUP($D59,選手登録!$N$8:$P$57,3,FALSE),"")</f>
        <v/>
      </c>
      <c r="S59" s="212" t="str">
        <f>IF($R59&lt;&gt;"",VLOOKUP($R59,選手登録!$M$8:$V$57,6,FALSE),"")</f>
        <v/>
      </c>
      <c r="T59" s="212" t="str">
        <f>IF($R59&lt;&gt;"",VLOOKUP($R59,選手登録!$M$8:$V$57,7,FALSE),"")</f>
        <v/>
      </c>
      <c r="U59" s="212" t="str">
        <f>IF($R59&lt;&gt;"",IF(VLOOKUP($R59,選手登録!$M$8:$U$57,9,FALSE)&lt;&gt;"",1,0),"")</f>
        <v/>
      </c>
      <c r="V59" s="212" t="str">
        <f>IF($E59&lt;&gt;"",VLOOKUP($E59,馬匹登録!$L$8:$N$57,3,FALSE),"")</f>
        <v/>
      </c>
      <c r="W59" s="212" t="str">
        <f>IF($V59&lt;&gt;"",IF(VLOOKUP($V59,馬匹登録!$N$8:$O$57,2,FALSE)&lt;&gt;"",1,0),"")</f>
        <v/>
      </c>
      <c r="X59" s="212" t="str">
        <f>IF($V59&lt;&gt;"",IF(VLOOKUP($V59,馬匹登録!$N$8:$Q$57,3,FALSE)&lt;&gt;"",1,0),"")</f>
        <v/>
      </c>
      <c r="Y59" s="212" t="str">
        <f>IF($V59&lt;&gt;"",IF(VLOOKUP($V59,馬匹登録!$N$8:$Q$57,4,FALSE)&lt;&gt;"",1,0),"")</f>
        <v/>
      </c>
      <c r="Z59" s="212" t="str">
        <f>IF($G59&lt;&gt;"",VLOOKUP($G59,リスト!$J$2:$K$5,2,FALSE),"")</f>
        <v/>
      </c>
      <c r="AA59" s="212" t="str">
        <f>IF($E59&lt;&gt;"",IFERROR(VLOOKUP($N59,マスタ!$H$4:$R$51,7+VLOOKUP($G59,リスト!$J$2:$K$5,2,FALSE),FALSE),"-"),"")</f>
        <v/>
      </c>
      <c r="AB59" s="212" t="str">
        <f t="shared" si="5"/>
        <v/>
      </c>
      <c r="AC59" s="212">
        <f>IF($AC$6=1,IFERROR(IF(AND($N59&lt;&gt;"",$R59&lt;&gt;""),IF(VLOOKUP($N59,マスタ!$T$4:$AC$51,4+$S59,FALSE)=0,1,0),0),1),0)</f>
        <v>0</v>
      </c>
      <c r="AD59" s="212">
        <f t="shared" si="6"/>
        <v>0</v>
      </c>
      <c r="AE59" s="212">
        <f>IF($AE$6=1,IFERROR(IF($G59="社馬連",IF(IFERROR(VLOOKUP($F59,リスト!$F$10:$H$51,2,FALSE),2)&lt;&gt;0,1,0),0),1),0)</f>
        <v>0</v>
      </c>
      <c r="AF59" s="212">
        <f t="shared" si="7"/>
        <v>0</v>
      </c>
      <c r="AG59" s="212">
        <f t="shared" si="8"/>
        <v>0</v>
      </c>
      <c r="AH59" s="212">
        <f t="shared" si="9"/>
        <v>0</v>
      </c>
      <c r="AI59" s="212">
        <f t="shared" si="10"/>
        <v>0</v>
      </c>
      <c r="AJ59" s="212">
        <f t="shared" si="11"/>
        <v>0</v>
      </c>
      <c r="AK59" s="212" t="str">
        <f t="shared" si="12"/>
        <v/>
      </c>
      <c r="AL59" s="212">
        <f t="shared" si="13"/>
        <v>0</v>
      </c>
      <c r="AM59" s="212" t="str">
        <f>IFERROR(VLOOKUP($N59,マスタ!$T$4:$AE$51,12,TRUE),"")</f>
        <v/>
      </c>
      <c r="AO59" s="212" t="str">
        <f t="shared" ca="1" si="14"/>
        <v/>
      </c>
      <c r="AP59" s="212" t="str">
        <f t="shared" ca="1" si="15"/>
        <v/>
      </c>
      <c r="AQ59" s="212" t="str">
        <f t="shared" ca="1" si="16"/>
        <v/>
      </c>
      <c r="AR59" s="212" t="str">
        <f t="shared" ca="1" si="0"/>
        <v/>
      </c>
      <c r="AS59" s="212" t="str">
        <f t="shared" ca="1" si="17"/>
        <v/>
      </c>
      <c r="AT59" s="212" t="str">
        <f t="shared" ca="1" si="18"/>
        <v/>
      </c>
      <c r="AU59" s="212" t="str">
        <f t="shared" ca="1" si="19"/>
        <v/>
      </c>
      <c r="AV59" s="212" t="str">
        <f t="shared" ca="1" si="20"/>
        <v/>
      </c>
      <c r="AX59" s="212">
        <f t="shared" si="27"/>
        <v>0</v>
      </c>
      <c r="AY59" s="212">
        <f t="shared" si="22"/>
        <v>52</v>
      </c>
      <c r="AZ59" s="212" t="str">
        <f t="shared" ca="1" si="23"/>
        <v/>
      </c>
      <c r="BA59" s="212" t="str">
        <f t="shared" si="25"/>
        <v/>
      </c>
      <c r="BB59" s="212" t="str">
        <f t="shared" si="24"/>
        <v/>
      </c>
      <c r="BC59" s="212" t="str">
        <f t="shared" ca="1" si="26"/>
        <v/>
      </c>
    </row>
    <row r="60" spans="1:55" ht="24" customHeight="1" x14ac:dyDescent="0.15">
      <c r="A60" s="234">
        <v>53</v>
      </c>
      <c r="B60" s="235" t="str">
        <f>IF($C60&lt;&gt;"",VLOOKUP($N60,マスタ!$H$4:$K$51,3,TRUE),"")</f>
        <v/>
      </c>
      <c r="C60" s="236"/>
      <c r="D60" s="236"/>
      <c r="E60" s="236"/>
      <c r="F60" s="237" t="str">
        <f>IF($R60&lt;&gt;"",IF(VLOOKUP($R60,選手登録!$A$8:$H$57,8,FALSE)&lt;&gt;"",VLOOKUP($R60,選手登録!$A$8:$H$57,8,FALSE),団体登録!$B$7),"")</f>
        <v/>
      </c>
      <c r="G60" s="238"/>
      <c r="H60" s="333" t="str">
        <f t="shared" si="3"/>
        <v/>
      </c>
      <c r="I60" s="239"/>
      <c r="J60" s="233" t="str">
        <f>IF($AC60&gt;0,リスト!$Y$22,IF($AD60=1,リスト!$Y$21,IF($AD60=2,リスト!$Y$23,IF($AE60&gt;0,リスト!$Y$18,IF($AF60&gt;0,リスト!$Y$19,IF($AG60&gt;0,リスト!$Y$20,IF($AH60&gt;0,リスト!$Y$24,IF($AI60&gt;0,リスト!$Y$25,IF($AJ60&gt;0,リスト!$Y$26,"")))))))))</f>
        <v/>
      </c>
      <c r="K60" s="211" t="s">
        <v>149</v>
      </c>
      <c r="M60" s="212">
        <f t="shared" si="4"/>
        <v>53</v>
      </c>
      <c r="N60" s="212" t="str">
        <f>IF($C60&lt;&gt;"",VLOOKUP($C60,マスタ!$L$4:$U$51,9,FALSE),"")</f>
        <v/>
      </c>
      <c r="O60" s="212" t="str">
        <f>IF($C60&lt;&gt;"",VLOOKUP($N60,マスタ!$H$4:$I$51,2,TRUE),"")</f>
        <v/>
      </c>
      <c r="P60" s="212" t="str">
        <f>IF($N60&lt;&gt;"",VLOOKUP($N60,マスタ!$T$4:$W$51,3,FALSE),"")</f>
        <v/>
      </c>
      <c r="Q60" s="212" t="str">
        <f>IF($N60&lt;&gt;"",VLOOKUP($N60,マスタ!$T$4:$W$51,4,FALSE),"")</f>
        <v/>
      </c>
      <c r="R60" s="212" t="str">
        <f>IF($D60&lt;&gt;"",VLOOKUP($D60,選手登録!$N$8:$P$57,3,FALSE),"")</f>
        <v/>
      </c>
      <c r="S60" s="212" t="str">
        <f>IF($R60&lt;&gt;"",VLOOKUP($R60,選手登録!$M$8:$V$57,6,FALSE),"")</f>
        <v/>
      </c>
      <c r="T60" s="212" t="str">
        <f>IF($R60&lt;&gt;"",VLOOKUP($R60,選手登録!$M$8:$V$57,7,FALSE),"")</f>
        <v/>
      </c>
      <c r="U60" s="212" t="str">
        <f>IF($R60&lt;&gt;"",IF(VLOOKUP($R60,選手登録!$M$8:$U$57,9,FALSE)&lt;&gt;"",1,0),"")</f>
        <v/>
      </c>
      <c r="V60" s="212" t="str">
        <f>IF($E60&lt;&gt;"",VLOOKUP($E60,馬匹登録!$L$8:$N$57,3,FALSE),"")</f>
        <v/>
      </c>
      <c r="W60" s="212" t="str">
        <f>IF($V60&lt;&gt;"",IF(VLOOKUP($V60,馬匹登録!$N$8:$O$57,2,FALSE)&lt;&gt;"",1,0),"")</f>
        <v/>
      </c>
      <c r="X60" s="212" t="str">
        <f>IF($V60&lt;&gt;"",IF(VLOOKUP($V60,馬匹登録!$N$8:$Q$57,3,FALSE)&lt;&gt;"",1,0),"")</f>
        <v/>
      </c>
      <c r="Y60" s="212" t="str">
        <f>IF($V60&lt;&gt;"",IF(VLOOKUP($V60,馬匹登録!$N$8:$Q$57,4,FALSE)&lt;&gt;"",1,0),"")</f>
        <v/>
      </c>
      <c r="Z60" s="212" t="str">
        <f>IF($G60&lt;&gt;"",VLOOKUP($G60,リスト!$J$2:$K$5,2,FALSE),"")</f>
        <v/>
      </c>
      <c r="AA60" s="212" t="str">
        <f>IF($E60&lt;&gt;"",IFERROR(VLOOKUP($N60,マスタ!$H$4:$R$51,7+VLOOKUP($G60,リスト!$J$2:$K$5,2,FALSE),FALSE),"-"),"")</f>
        <v/>
      </c>
      <c r="AB60" s="212" t="str">
        <f t="shared" si="5"/>
        <v/>
      </c>
      <c r="AC60" s="212">
        <f>IF($AC$6=1,IFERROR(IF(AND($N60&lt;&gt;"",$R60&lt;&gt;""),IF(VLOOKUP($N60,マスタ!$T$4:$AC$51,4+$S60,FALSE)=0,1,0),0),1),0)</f>
        <v>0</v>
      </c>
      <c r="AD60" s="212">
        <f t="shared" si="6"/>
        <v>0</v>
      </c>
      <c r="AE60" s="212">
        <f>IF($AE$6=1,IFERROR(IF($G60="社馬連",IF(IFERROR(VLOOKUP($F60,リスト!$F$10:$H$51,2,FALSE),2)&lt;&gt;0,1,0),0),1),0)</f>
        <v>0</v>
      </c>
      <c r="AF60" s="212">
        <f t="shared" si="7"/>
        <v>0</v>
      </c>
      <c r="AG60" s="212">
        <f t="shared" si="8"/>
        <v>0</v>
      </c>
      <c r="AH60" s="212">
        <f t="shared" si="9"/>
        <v>0</v>
      </c>
      <c r="AI60" s="212">
        <f t="shared" si="10"/>
        <v>0</v>
      </c>
      <c r="AJ60" s="212">
        <f t="shared" si="11"/>
        <v>0</v>
      </c>
      <c r="AK60" s="212" t="str">
        <f t="shared" si="12"/>
        <v/>
      </c>
      <c r="AL60" s="212">
        <f t="shared" si="13"/>
        <v>0</v>
      </c>
      <c r="AM60" s="212" t="str">
        <f>IFERROR(VLOOKUP($N60,マスタ!$T$4:$AE$51,12,TRUE),"")</f>
        <v/>
      </c>
      <c r="AO60" s="212" t="str">
        <f t="shared" ca="1" si="14"/>
        <v/>
      </c>
      <c r="AP60" s="212" t="str">
        <f t="shared" ca="1" si="15"/>
        <v/>
      </c>
      <c r="AQ60" s="212" t="str">
        <f t="shared" ca="1" si="16"/>
        <v/>
      </c>
      <c r="AR60" s="212" t="str">
        <f t="shared" ca="1" si="0"/>
        <v/>
      </c>
      <c r="AS60" s="212" t="str">
        <f t="shared" ca="1" si="17"/>
        <v/>
      </c>
      <c r="AT60" s="212" t="str">
        <f t="shared" ca="1" si="18"/>
        <v/>
      </c>
      <c r="AU60" s="212" t="str">
        <f t="shared" ca="1" si="19"/>
        <v/>
      </c>
      <c r="AV60" s="212" t="str">
        <f t="shared" ca="1" si="20"/>
        <v/>
      </c>
      <c r="AX60" s="212">
        <f t="shared" si="27"/>
        <v>0</v>
      </c>
      <c r="AY60" s="212">
        <f t="shared" si="22"/>
        <v>53</v>
      </c>
      <c r="AZ60" s="212" t="str">
        <f t="shared" ca="1" si="23"/>
        <v/>
      </c>
      <c r="BA60" s="212" t="str">
        <f t="shared" si="25"/>
        <v/>
      </c>
      <c r="BB60" s="212" t="str">
        <f t="shared" si="24"/>
        <v/>
      </c>
      <c r="BC60" s="212" t="str">
        <f t="shared" ca="1" si="26"/>
        <v/>
      </c>
    </row>
    <row r="61" spans="1:55" ht="24" customHeight="1" x14ac:dyDescent="0.15">
      <c r="A61" s="234">
        <v>54</v>
      </c>
      <c r="B61" s="235" t="str">
        <f>IF($C61&lt;&gt;"",VLOOKUP($N61,マスタ!$H$4:$K$51,3,TRUE),"")</f>
        <v/>
      </c>
      <c r="C61" s="236"/>
      <c r="D61" s="236"/>
      <c r="E61" s="236"/>
      <c r="F61" s="237" t="str">
        <f>IF($R61&lt;&gt;"",IF(VLOOKUP($R61,選手登録!$A$8:$H$57,8,FALSE)&lt;&gt;"",VLOOKUP($R61,選手登録!$A$8:$H$57,8,FALSE),団体登録!$B$7),"")</f>
        <v/>
      </c>
      <c r="G61" s="238"/>
      <c r="H61" s="333" t="str">
        <f t="shared" si="3"/>
        <v/>
      </c>
      <c r="I61" s="239"/>
      <c r="J61" s="233" t="str">
        <f>IF($AC61&gt;0,リスト!$Y$22,IF($AD61=1,リスト!$Y$21,IF($AD61=2,リスト!$Y$23,IF($AE61&gt;0,リスト!$Y$18,IF($AF61&gt;0,リスト!$Y$19,IF($AG61&gt;0,リスト!$Y$20,IF($AH61&gt;0,リスト!$Y$24,IF($AI61&gt;0,リスト!$Y$25,IF($AJ61&gt;0,リスト!$Y$26,"")))))))))</f>
        <v/>
      </c>
      <c r="K61" s="211" t="s">
        <v>149</v>
      </c>
      <c r="M61" s="212">
        <f t="shared" si="4"/>
        <v>54</v>
      </c>
      <c r="N61" s="212" t="str">
        <f>IF($C61&lt;&gt;"",VLOOKUP($C61,マスタ!$L$4:$U$51,9,FALSE),"")</f>
        <v/>
      </c>
      <c r="O61" s="212" t="str">
        <f>IF($C61&lt;&gt;"",VLOOKUP($N61,マスタ!$H$4:$I$51,2,TRUE),"")</f>
        <v/>
      </c>
      <c r="P61" s="212" t="str">
        <f>IF($N61&lt;&gt;"",VLOOKUP($N61,マスタ!$T$4:$W$51,3,FALSE),"")</f>
        <v/>
      </c>
      <c r="Q61" s="212" t="str">
        <f>IF($N61&lt;&gt;"",VLOOKUP($N61,マスタ!$T$4:$W$51,4,FALSE),"")</f>
        <v/>
      </c>
      <c r="R61" s="212" t="str">
        <f>IF($D61&lt;&gt;"",VLOOKUP($D61,選手登録!$N$8:$P$57,3,FALSE),"")</f>
        <v/>
      </c>
      <c r="S61" s="212" t="str">
        <f>IF($R61&lt;&gt;"",VLOOKUP($R61,選手登録!$M$8:$V$57,6,FALSE),"")</f>
        <v/>
      </c>
      <c r="T61" s="212" t="str">
        <f>IF($R61&lt;&gt;"",VLOOKUP($R61,選手登録!$M$8:$V$57,7,FALSE),"")</f>
        <v/>
      </c>
      <c r="U61" s="212" t="str">
        <f>IF($R61&lt;&gt;"",IF(VLOOKUP($R61,選手登録!$M$8:$U$57,9,FALSE)&lt;&gt;"",1,0),"")</f>
        <v/>
      </c>
      <c r="V61" s="212" t="str">
        <f>IF($E61&lt;&gt;"",VLOOKUP($E61,馬匹登録!$L$8:$N$57,3,FALSE),"")</f>
        <v/>
      </c>
      <c r="W61" s="212" t="str">
        <f>IF($V61&lt;&gt;"",IF(VLOOKUP($V61,馬匹登録!$N$8:$O$57,2,FALSE)&lt;&gt;"",1,0),"")</f>
        <v/>
      </c>
      <c r="X61" s="212" t="str">
        <f>IF($V61&lt;&gt;"",IF(VLOOKUP($V61,馬匹登録!$N$8:$Q$57,3,FALSE)&lt;&gt;"",1,0),"")</f>
        <v/>
      </c>
      <c r="Y61" s="212" t="str">
        <f>IF($V61&lt;&gt;"",IF(VLOOKUP($V61,馬匹登録!$N$8:$Q$57,4,FALSE)&lt;&gt;"",1,0),"")</f>
        <v/>
      </c>
      <c r="Z61" s="212" t="str">
        <f>IF($G61&lt;&gt;"",VLOOKUP($G61,リスト!$J$2:$K$5,2,FALSE),"")</f>
        <v/>
      </c>
      <c r="AA61" s="212" t="str">
        <f>IF($E61&lt;&gt;"",IFERROR(VLOOKUP($N61,マスタ!$H$4:$R$51,7+VLOOKUP($G61,リスト!$J$2:$K$5,2,FALSE),FALSE),"-"),"")</f>
        <v/>
      </c>
      <c r="AB61" s="212" t="str">
        <f t="shared" si="5"/>
        <v/>
      </c>
      <c r="AC61" s="212">
        <f>IF($AC$6=1,IFERROR(IF(AND($N61&lt;&gt;"",$R61&lt;&gt;""),IF(VLOOKUP($N61,マスタ!$T$4:$AC$51,4+$S61,FALSE)=0,1,0),0),1),0)</f>
        <v>0</v>
      </c>
      <c r="AD61" s="212">
        <f t="shared" si="6"/>
        <v>0</v>
      </c>
      <c r="AE61" s="212">
        <f>IF($AE$6=1,IFERROR(IF($G61="社馬連",IF(IFERROR(VLOOKUP($F61,リスト!$F$10:$H$51,2,FALSE),2)&lt;&gt;0,1,0),0),1),0)</f>
        <v>0</v>
      </c>
      <c r="AF61" s="212">
        <f t="shared" si="7"/>
        <v>0</v>
      </c>
      <c r="AG61" s="212">
        <f t="shared" si="8"/>
        <v>0</v>
      </c>
      <c r="AH61" s="212">
        <f t="shared" si="9"/>
        <v>0</v>
      </c>
      <c r="AI61" s="212">
        <f t="shared" si="10"/>
        <v>0</v>
      </c>
      <c r="AJ61" s="212">
        <f t="shared" si="11"/>
        <v>0</v>
      </c>
      <c r="AK61" s="212" t="str">
        <f t="shared" si="12"/>
        <v/>
      </c>
      <c r="AL61" s="212">
        <f t="shared" si="13"/>
        <v>0</v>
      </c>
      <c r="AM61" s="212" t="str">
        <f>IFERROR(VLOOKUP($N61,マスタ!$T$4:$AE$51,12,TRUE),"")</f>
        <v/>
      </c>
      <c r="AO61" s="212" t="str">
        <f t="shared" ca="1" si="14"/>
        <v/>
      </c>
      <c r="AP61" s="212" t="str">
        <f t="shared" ca="1" si="15"/>
        <v/>
      </c>
      <c r="AQ61" s="212" t="str">
        <f t="shared" ca="1" si="16"/>
        <v/>
      </c>
      <c r="AR61" s="212" t="str">
        <f t="shared" ca="1" si="0"/>
        <v/>
      </c>
      <c r="AS61" s="212" t="str">
        <f t="shared" ca="1" si="17"/>
        <v/>
      </c>
      <c r="AT61" s="212" t="str">
        <f t="shared" ca="1" si="18"/>
        <v/>
      </c>
      <c r="AU61" s="212" t="str">
        <f t="shared" ca="1" si="19"/>
        <v/>
      </c>
      <c r="AV61" s="212" t="str">
        <f t="shared" ca="1" si="20"/>
        <v/>
      </c>
      <c r="AX61" s="212">
        <f t="shared" si="27"/>
        <v>0</v>
      </c>
      <c r="AY61" s="212">
        <f t="shared" si="22"/>
        <v>54</v>
      </c>
      <c r="AZ61" s="212" t="str">
        <f t="shared" ca="1" si="23"/>
        <v/>
      </c>
      <c r="BA61" s="212" t="str">
        <f t="shared" si="25"/>
        <v/>
      </c>
      <c r="BB61" s="212" t="str">
        <f t="shared" si="24"/>
        <v/>
      </c>
      <c r="BC61" s="212" t="str">
        <f t="shared" ca="1" si="26"/>
        <v/>
      </c>
    </row>
    <row r="62" spans="1:55" ht="24" customHeight="1" x14ac:dyDescent="0.15">
      <c r="A62" s="234">
        <v>55</v>
      </c>
      <c r="B62" s="235" t="str">
        <f>IF($C62&lt;&gt;"",VLOOKUP($N62,マスタ!$H$4:$K$51,3,TRUE),"")</f>
        <v/>
      </c>
      <c r="C62" s="236"/>
      <c r="D62" s="236"/>
      <c r="E62" s="236"/>
      <c r="F62" s="237" t="str">
        <f>IF($R62&lt;&gt;"",IF(VLOOKUP($R62,選手登録!$A$8:$H$57,8,FALSE)&lt;&gt;"",VLOOKUP($R62,選手登録!$A$8:$H$57,8,FALSE),団体登録!$B$7),"")</f>
        <v/>
      </c>
      <c r="G62" s="238"/>
      <c r="H62" s="333" t="str">
        <f t="shared" si="3"/>
        <v/>
      </c>
      <c r="I62" s="239"/>
      <c r="J62" s="233" t="str">
        <f>IF($AC62&gt;0,リスト!$Y$22,IF($AD62=1,リスト!$Y$21,IF($AD62=2,リスト!$Y$23,IF($AE62&gt;0,リスト!$Y$18,IF($AF62&gt;0,リスト!$Y$19,IF($AG62&gt;0,リスト!$Y$20,IF($AH62&gt;0,リスト!$Y$24,IF($AI62&gt;0,リスト!$Y$25,IF($AJ62&gt;0,リスト!$Y$26,"")))))))))</f>
        <v/>
      </c>
      <c r="K62" s="211" t="s">
        <v>149</v>
      </c>
      <c r="M62" s="212">
        <f t="shared" si="4"/>
        <v>55</v>
      </c>
      <c r="N62" s="212" t="str">
        <f>IF($C62&lt;&gt;"",VLOOKUP($C62,マスタ!$L$4:$U$51,9,FALSE),"")</f>
        <v/>
      </c>
      <c r="O62" s="212" t="str">
        <f>IF($C62&lt;&gt;"",VLOOKUP($N62,マスタ!$H$4:$I$51,2,TRUE),"")</f>
        <v/>
      </c>
      <c r="P62" s="212" t="str">
        <f>IF($N62&lt;&gt;"",VLOOKUP($N62,マスタ!$T$4:$W$51,3,FALSE),"")</f>
        <v/>
      </c>
      <c r="Q62" s="212" t="str">
        <f>IF($N62&lt;&gt;"",VLOOKUP($N62,マスタ!$T$4:$W$51,4,FALSE),"")</f>
        <v/>
      </c>
      <c r="R62" s="212" t="str">
        <f>IF($D62&lt;&gt;"",VLOOKUP($D62,選手登録!$N$8:$P$57,3,FALSE),"")</f>
        <v/>
      </c>
      <c r="S62" s="212" t="str">
        <f>IF($R62&lt;&gt;"",VLOOKUP($R62,選手登録!$M$8:$V$57,6,FALSE),"")</f>
        <v/>
      </c>
      <c r="T62" s="212" t="str">
        <f>IF($R62&lt;&gt;"",VLOOKUP($R62,選手登録!$M$8:$V$57,7,FALSE),"")</f>
        <v/>
      </c>
      <c r="U62" s="212" t="str">
        <f>IF($R62&lt;&gt;"",IF(VLOOKUP($R62,選手登録!$M$8:$U$57,9,FALSE)&lt;&gt;"",1,0),"")</f>
        <v/>
      </c>
      <c r="V62" s="212" t="str">
        <f>IF($E62&lt;&gt;"",VLOOKUP($E62,馬匹登録!$L$8:$N$57,3,FALSE),"")</f>
        <v/>
      </c>
      <c r="W62" s="212" t="str">
        <f>IF($V62&lt;&gt;"",IF(VLOOKUP($V62,馬匹登録!$N$8:$O$57,2,FALSE)&lt;&gt;"",1,0),"")</f>
        <v/>
      </c>
      <c r="X62" s="212" t="str">
        <f>IF($V62&lt;&gt;"",IF(VLOOKUP($V62,馬匹登録!$N$8:$Q$57,3,FALSE)&lt;&gt;"",1,0),"")</f>
        <v/>
      </c>
      <c r="Y62" s="212" t="str">
        <f>IF($V62&lt;&gt;"",IF(VLOOKUP($V62,馬匹登録!$N$8:$Q$57,4,FALSE)&lt;&gt;"",1,0),"")</f>
        <v/>
      </c>
      <c r="Z62" s="212" t="str">
        <f>IF($G62&lt;&gt;"",VLOOKUP($G62,リスト!$J$2:$K$5,2,FALSE),"")</f>
        <v/>
      </c>
      <c r="AA62" s="212" t="str">
        <f>IF($E62&lt;&gt;"",IFERROR(VLOOKUP($N62,マスタ!$H$4:$R$51,7+VLOOKUP($G62,リスト!$J$2:$K$5,2,FALSE),FALSE),"-"),"")</f>
        <v/>
      </c>
      <c r="AB62" s="212" t="str">
        <f t="shared" si="5"/>
        <v/>
      </c>
      <c r="AC62" s="212">
        <f>IF($AC$6=1,IFERROR(IF(AND($N62&lt;&gt;"",$R62&lt;&gt;""),IF(VLOOKUP($N62,マスタ!$T$4:$AC$51,4+$S62,FALSE)=0,1,0),0),1),0)</f>
        <v>0</v>
      </c>
      <c r="AD62" s="212">
        <f t="shared" si="6"/>
        <v>0</v>
      </c>
      <c r="AE62" s="212">
        <f>IF($AE$6=1,IFERROR(IF($G62="社馬連",IF(IFERROR(VLOOKUP($F62,リスト!$F$10:$H$51,2,FALSE),2)&lt;&gt;0,1,0),0),1),0)</f>
        <v>0</v>
      </c>
      <c r="AF62" s="212">
        <f t="shared" si="7"/>
        <v>0</v>
      </c>
      <c r="AG62" s="212">
        <f t="shared" si="8"/>
        <v>0</v>
      </c>
      <c r="AH62" s="212">
        <f t="shared" si="9"/>
        <v>0</v>
      </c>
      <c r="AI62" s="212">
        <f t="shared" si="10"/>
        <v>0</v>
      </c>
      <c r="AJ62" s="212">
        <f t="shared" si="11"/>
        <v>0</v>
      </c>
      <c r="AK62" s="212" t="str">
        <f t="shared" si="12"/>
        <v/>
      </c>
      <c r="AL62" s="212">
        <f t="shared" si="13"/>
        <v>0</v>
      </c>
      <c r="AM62" s="212" t="str">
        <f>IFERROR(VLOOKUP($N62,マスタ!$T$4:$AE$51,12,TRUE),"")</f>
        <v/>
      </c>
      <c r="AO62" s="212" t="str">
        <f t="shared" ca="1" si="14"/>
        <v/>
      </c>
      <c r="AP62" s="212" t="str">
        <f t="shared" ca="1" si="15"/>
        <v/>
      </c>
      <c r="AQ62" s="212" t="str">
        <f t="shared" ca="1" si="16"/>
        <v/>
      </c>
      <c r="AR62" s="212" t="str">
        <f t="shared" ca="1" si="0"/>
        <v/>
      </c>
      <c r="AS62" s="212" t="str">
        <f t="shared" ca="1" si="17"/>
        <v/>
      </c>
      <c r="AT62" s="212" t="str">
        <f t="shared" ca="1" si="18"/>
        <v/>
      </c>
      <c r="AU62" s="212" t="str">
        <f t="shared" ca="1" si="19"/>
        <v/>
      </c>
      <c r="AV62" s="212" t="str">
        <f t="shared" ca="1" si="20"/>
        <v/>
      </c>
      <c r="AX62" s="212">
        <f t="shared" si="27"/>
        <v>0</v>
      </c>
      <c r="AY62" s="212">
        <f t="shared" si="22"/>
        <v>55</v>
      </c>
      <c r="AZ62" s="212" t="str">
        <f t="shared" ca="1" si="23"/>
        <v/>
      </c>
      <c r="BA62" s="212" t="str">
        <f t="shared" si="25"/>
        <v/>
      </c>
      <c r="BB62" s="212" t="str">
        <f t="shared" si="24"/>
        <v/>
      </c>
      <c r="BC62" s="212" t="str">
        <f t="shared" ca="1" si="26"/>
        <v/>
      </c>
    </row>
    <row r="63" spans="1:55" ht="24" customHeight="1" x14ac:dyDescent="0.15">
      <c r="A63" s="234">
        <v>56</v>
      </c>
      <c r="B63" s="235" t="str">
        <f>IF($C63&lt;&gt;"",VLOOKUP($N63,マスタ!$H$4:$K$51,3,TRUE),"")</f>
        <v/>
      </c>
      <c r="C63" s="236"/>
      <c r="D63" s="236"/>
      <c r="E63" s="236"/>
      <c r="F63" s="237" t="str">
        <f>IF($R63&lt;&gt;"",IF(VLOOKUP($R63,選手登録!$A$8:$H$57,8,FALSE)&lt;&gt;"",VLOOKUP($R63,選手登録!$A$8:$H$57,8,FALSE),団体登録!$B$7),"")</f>
        <v/>
      </c>
      <c r="G63" s="238"/>
      <c r="H63" s="333" t="str">
        <f t="shared" si="3"/>
        <v/>
      </c>
      <c r="I63" s="239"/>
      <c r="J63" s="233" t="str">
        <f>IF($AC63&gt;0,リスト!$Y$22,IF($AD63=1,リスト!$Y$21,IF($AD63=2,リスト!$Y$23,IF($AE63&gt;0,リスト!$Y$18,IF($AF63&gt;0,リスト!$Y$19,IF($AG63&gt;0,リスト!$Y$20,IF($AH63&gt;0,リスト!$Y$24,IF($AI63&gt;0,リスト!$Y$25,IF($AJ63&gt;0,リスト!$Y$26,"")))))))))</f>
        <v/>
      </c>
      <c r="K63" s="211" t="s">
        <v>149</v>
      </c>
      <c r="M63" s="212">
        <f t="shared" si="4"/>
        <v>56</v>
      </c>
      <c r="N63" s="212" t="str">
        <f>IF($C63&lt;&gt;"",VLOOKUP($C63,マスタ!$L$4:$U$51,9,FALSE),"")</f>
        <v/>
      </c>
      <c r="O63" s="212" t="str">
        <f>IF($C63&lt;&gt;"",VLOOKUP($N63,マスタ!$H$4:$I$51,2,TRUE),"")</f>
        <v/>
      </c>
      <c r="P63" s="212" t="str">
        <f>IF($N63&lt;&gt;"",VLOOKUP($N63,マスタ!$T$4:$W$51,3,FALSE),"")</f>
        <v/>
      </c>
      <c r="Q63" s="212" t="str">
        <f>IF($N63&lt;&gt;"",VLOOKUP($N63,マスタ!$T$4:$W$51,4,FALSE),"")</f>
        <v/>
      </c>
      <c r="R63" s="212" t="str">
        <f>IF($D63&lt;&gt;"",VLOOKUP($D63,選手登録!$N$8:$P$57,3,FALSE),"")</f>
        <v/>
      </c>
      <c r="S63" s="212" t="str">
        <f>IF($R63&lt;&gt;"",VLOOKUP($R63,選手登録!$M$8:$V$57,6,FALSE),"")</f>
        <v/>
      </c>
      <c r="T63" s="212" t="str">
        <f>IF($R63&lt;&gt;"",VLOOKUP($R63,選手登録!$M$8:$V$57,7,FALSE),"")</f>
        <v/>
      </c>
      <c r="U63" s="212" t="str">
        <f>IF($R63&lt;&gt;"",IF(VLOOKUP($R63,選手登録!$M$8:$U$57,9,FALSE)&lt;&gt;"",1,0),"")</f>
        <v/>
      </c>
      <c r="V63" s="212" t="str">
        <f>IF($E63&lt;&gt;"",VLOOKUP($E63,馬匹登録!$L$8:$N$57,3,FALSE),"")</f>
        <v/>
      </c>
      <c r="W63" s="212" t="str">
        <f>IF($V63&lt;&gt;"",IF(VLOOKUP($V63,馬匹登録!$N$8:$O$57,2,FALSE)&lt;&gt;"",1,0),"")</f>
        <v/>
      </c>
      <c r="X63" s="212" t="str">
        <f>IF($V63&lt;&gt;"",IF(VLOOKUP($V63,馬匹登録!$N$8:$Q$57,3,FALSE)&lt;&gt;"",1,0),"")</f>
        <v/>
      </c>
      <c r="Y63" s="212" t="str">
        <f>IF($V63&lt;&gt;"",IF(VLOOKUP($V63,馬匹登録!$N$8:$Q$57,4,FALSE)&lt;&gt;"",1,0),"")</f>
        <v/>
      </c>
      <c r="Z63" s="212" t="str">
        <f>IF($G63&lt;&gt;"",VLOOKUP($G63,リスト!$J$2:$K$5,2,FALSE),"")</f>
        <v/>
      </c>
      <c r="AA63" s="212" t="str">
        <f>IF($E63&lt;&gt;"",IFERROR(VLOOKUP($N63,マスタ!$H$4:$R$51,7+VLOOKUP($G63,リスト!$J$2:$K$5,2,FALSE),FALSE),"-"),"")</f>
        <v/>
      </c>
      <c r="AB63" s="212" t="str">
        <f t="shared" si="5"/>
        <v/>
      </c>
      <c r="AC63" s="212">
        <f>IF($AC$6=1,IFERROR(IF(AND($N63&lt;&gt;"",$R63&lt;&gt;""),IF(VLOOKUP($N63,マスタ!$T$4:$AC$51,4+$S63,FALSE)=0,1,0),0),1),0)</f>
        <v>0</v>
      </c>
      <c r="AD63" s="212">
        <f t="shared" si="6"/>
        <v>0</v>
      </c>
      <c r="AE63" s="212">
        <f>IF($AE$6=1,IFERROR(IF($G63="社馬連",IF(IFERROR(VLOOKUP($F63,リスト!$F$10:$H$51,2,FALSE),2)&lt;&gt;0,1,0),0),1),0)</f>
        <v>0</v>
      </c>
      <c r="AF63" s="212">
        <f t="shared" si="7"/>
        <v>0</v>
      </c>
      <c r="AG63" s="212">
        <f t="shared" si="8"/>
        <v>0</v>
      </c>
      <c r="AH63" s="212">
        <f t="shared" si="9"/>
        <v>0</v>
      </c>
      <c r="AI63" s="212">
        <f t="shared" si="10"/>
        <v>0</v>
      </c>
      <c r="AJ63" s="212">
        <f t="shared" si="11"/>
        <v>0</v>
      </c>
      <c r="AK63" s="212" t="str">
        <f t="shared" si="12"/>
        <v/>
      </c>
      <c r="AL63" s="212">
        <f t="shared" si="13"/>
        <v>0</v>
      </c>
      <c r="AM63" s="212" t="str">
        <f>IFERROR(VLOOKUP($N63,マスタ!$T$4:$AE$51,12,TRUE),"")</f>
        <v/>
      </c>
      <c r="AO63" s="212" t="str">
        <f t="shared" ca="1" si="14"/>
        <v/>
      </c>
      <c r="AP63" s="212" t="str">
        <f t="shared" ca="1" si="15"/>
        <v/>
      </c>
      <c r="AQ63" s="212" t="str">
        <f t="shared" ca="1" si="16"/>
        <v/>
      </c>
      <c r="AR63" s="212" t="str">
        <f t="shared" ca="1" si="0"/>
        <v/>
      </c>
      <c r="AS63" s="212" t="str">
        <f t="shared" ca="1" si="17"/>
        <v/>
      </c>
      <c r="AT63" s="212" t="str">
        <f t="shared" ca="1" si="18"/>
        <v/>
      </c>
      <c r="AU63" s="212" t="str">
        <f t="shared" ca="1" si="19"/>
        <v/>
      </c>
      <c r="AV63" s="212" t="str">
        <f t="shared" ca="1" si="20"/>
        <v/>
      </c>
      <c r="AX63" s="212">
        <f t="shared" si="27"/>
        <v>0</v>
      </c>
      <c r="AY63" s="212">
        <f t="shared" si="22"/>
        <v>56</v>
      </c>
      <c r="AZ63" s="212" t="str">
        <f t="shared" ca="1" si="23"/>
        <v/>
      </c>
      <c r="BA63" s="212" t="str">
        <f t="shared" si="25"/>
        <v/>
      </c>
      <c r="BB63" s="212" t="str">
        <f t="shared" si="24"/>
        <v/>
      </c>
      <c r="BC63" s="212" t="str">
        <f t="shared" ca="1" si="26"/>
        <v/>
      </c>
    </row>
    <row r="64" spans="1:55" ht="24" customHeight="1" x14ac:dyDescent="0.15">
      <c r="A64" s="234">
        <v>57</v>
      </c>
      <c r="B64" s="235" t="str">
        <f>IF($C64&lt;&gt;"",VLOOKUP($N64,マスタ!$H$4:$K$51,3,TRUE),"")</f>
        <v/>
      </c>
      <c r="C64" s="236"/>
      <c r="D64" s="236"/>
      <c r="E64" s="236"/>
      <c r="F64" s="237" t="str">
        <f>IF($R64&lt;&gt;"",IF(VLOOKUP($R64,選手登録!$A$8:$H$57,8,FALSE)&lt;&gt;"",VLOOKUP($R64,選手登録!$A$8:$H$57,8,FALSE),団体登録!$B$7),"")</f>
        <v/>
      </c>
      <c r="G64" s="238"/>
      <c r="H64" s="333" t="str">
        <f t="shared" si="3"/>
        <v/>
      </c>
      <c r="I64" s="239"/>
      <c r="J64" s="233" t="str">
        <f>IF($AC64&gt;0,リスト!$Y$22,IF($AD64=1,リスト!$Y$21,IF($AD64=2,リスト!$Y$23,IF($AE64&gt;0,リスト!$Y$18,IF($AF64&gt;0,リスト!$Y$19,IF($AG64&gt;0,リスト!$Y$20,IF($AH64&gt;0,リスト!$Y$24,IF($AI64&gt;0,リスト!$Y$25,IF($AJ64&gt;0,リスト!$Y$26,"")))))))))</f>
        <v/>
      </c>
      <c r="K64" s="211" t="s">
        <v>149</v>
      </c>
      <c r="M64" s="212">
        <f t="shared" si="4"/>
        <v>57</v>
      </c>
      <c r="N64" s="212" t="str">
        <f>IF($C64&lt;&gt;"",VLOOKUP($C64,マスタ!$L$4:$U$51,9,FALSE),"")</f>
        <v/>
      </c>
      <c r="O64" s="212" t="str">
        <f>IF($C64&lt;&gt;"",VLOOKUP($N64,マスタ!$H$4:$I$51,2,TRUE),"")</f>
        <v/>
      </c>
      <c r="P64" s="212" t="str">
        <f>IF($N64&lt;&gt;"",VLOOKUP($N64,マスタ!$T$4:$W$51,3,FALSE),"")</f>
        <v/>
      </c>
      <c r="Q64" s="212" t="str">
        <f>IF($N64&lt;&gt;"",VLOOKUP($N64,マスタ!$T$4:$W$51,4,FALSE),"")</f>
        <v/>
      </c>
      <c r="R64" s="212" t="str">
        <f>IF($D64&lt;&gt;"",VLOOKUP($D64,選手登録!$N$8:$P$57,3,FALSE),"")</f>
        <v/>
      </c>
      <c r="S64" s="212" t="str">
        <f>IF($R64&lt;&gt;"",VLOOKUP($R64,選手登録!$M$8:$V$57,6,FALSE),"")</f>
        <v/>
      </c>
      <c r="T64" s="212" t="str">
        <f>IF($R64&lt;&gt;"",VLOOKUP($R64,選手登録!$M$8:$V$57,7,FALSE),"")</f>
        <v/>
      </c>
      <c r="U64" s="212" t="str">
        <f>IF($R64&lt;&gt;"",IF(VLOOKUP($R64,選手登録!$M$8:$U$57,9,FALSE)&lt;&gt;"",1,0),"")</f>
        <v/>
      </c>
      <c r="V64" s="212" t="str">
        <f>IF($E64&lt;&gt;"",VLOOKUP($E64,馬匹登録!$L$8:$N$57,3,FALSE),"")</f>
        <v/>
      </c>
      <c r="W64" s="212" t="str">
        <f>IF($V64&lt;&gt;"",IF(VLOOKUP($V64,馬匹登録!$N$8:$O$57,2,FALSE)&lt;&gt;"",1,0),"")</f>
        <v/>
      </c>
      <c r="X64" s="212" t="str">
        <f>IF($V64&lt;&gt;"",IF(VLOOKUP($V64,馬匹登録!$N$8:$Q$57,3,FALSE)&lt;&gt;"",1,0),"")</f>
        <v/>
      </c>
      <c r="Y64" s="212" t="str">
        <f>IF($V64&lt;&gt;"",IF(VLOOKUP($V64,馬匹登録!$N$8:$Q$57,4,FALSE)&lt;&gt;"",1,0),"")</f>
        <v/>
      </c>
      <c r="Z64" s="212" t="str">
        <f>IF($G64&lt;&gt;"",VLOOKUP($G64,リスト!$J$2:$K$5,2,FALSE),"")</f>
        <v/>
      </c>
      <c r="AA64" s="212" t="str">
        <f>IF($E64&lt;&gt;"",IFERROR(VLOOKUP($N64,マスタ!$H$4:$R$51,7+VLOOKUP($G64,リスト!$J$2:$K$5,2,FALSE),FALSE),"-"),"")</f>
        <v/>
      </c>
      <c r="AB64" s="212" t="str">
        <f t="shared" si="5"/>
        <v/>
      </c>
      <c r="AC64" s="212">
        <f>IF($AC$6=1,IFERROR(IF(AND($N64&lt;&gt;"",$R64&lt;&gt;""),IF(VLOOKUP($N64,マスタ!$T$4:$AC$51,4+$S64,FALSE)=0,1,0),0),1),0)</f>
        <v>0</v>
      </c>
      <c r="AD64" s="212">
        <f t="shared" si="6"/>
        <v>0</v>
      </c>
      <c r="AE64" s="212">
        <f>IF($AE$6=1,IFERROR(IF($G64="社馬連",IF(IFERROR(VLOOKUP($F64,リスト!$F$10:$H$51,2,FALSE),2)&lt;&gt;0,1,0),0),1),0)</f>
        <v>0</v>
      </c>
      <c r="AF64" s="212">
        <f t="shared" si="7"/>
        <v>0</v>
      </c>
      <c r="AG64" s="212">
        <f t="shared" si="8"/>
        <v>0</v>
      </c>
      <c r="AH64" s="212">
        <f t="shared" si="9"/>
        <v>0</v>
      </c>
      <c r="AI64" s="212">
        <f t="shared" si="10"/>
        <v>0</v>
      </c>
      <c r="AJ64" s="212">
        <f t="shared" si="11"/>
        <v>0</v>
      </c>
      <c r="AK64" s="212" t="str">
        <f t="shared" si="12"/>
        <v/>
      </c>
      <c r="AL64" s="212">
        <f t="shared" si="13"/>
        <v>0</v>
      </c>
      <c r="AM64" s="212" t="str">
        <f>IFERROR(VLOOKUP($N64,マスタ!$T$4:$AE$51,12,TRUE),"")</f>
        <v/>
      </c>
      <c r="AO64" s="212" t="str">
        <f t="shared" ca="1" si="14"/>
        <v/>
      </c>
      <c r="AP64" s="212" t="str">
        <f t="shared" ca="1" si="15"/>
        <v/>
      </c>
      <c r="AQ64" s="212" t="str">
        <f t="shared" ca="1" si="16"/>
        <v/>
      </c>
      <c r="AR64" s="212" t="str">
        <f t="shared" ca="1" si="0"/>
        <v/>
      </c>
      <c r="AS64" s="212" t="str">
        <f t="shared" ca="1" si="17"/>
        <v/>
      </c>
      <c r="AT64" s="212" t="str">
        <f t="shared" ca="1" si="18"/>
        <v/>
      </c>
      <c r="AU64" s="212" t="str">
        <f t="shared" ca="1" si="19"/>
        <v/>
      </c>
      <c r="AV64" s="212" t="str">
        <f t="shared" ca="1" si="20"/>
        <v/>
      </c>
      <c r="AX64" s="212">
        <f t="shared" si="27"/>
        <v>0</v>
      </c>
      <c r="AY64" s="212">
        <f t="shared" si="22"/>
        <v>57</v>
      </c>
      <c r="AZ64" s="212" t="str">
        <f t="shared" ca="1" si="23"/>
        <v/>
      </c>
      <c r="BA64" s="212" t="str">
        <f t="shared" si="25"/>
        <v/>
      </c>
      <c r="BB64" s="212" t="str">
        <f t="shared" si="24"/>
        <v/>
      </c>
      <c r="BC64" s="212" t="str">
        <f t="shared" ca="1" si="26"/>
        <v/>
      </c>
    </row>
    <row r="65" spans="1:55" ht="24" customHeight="1" x14ac:dyDescent="0.15">
      <c r="A65" s="234">
        <v>58</v>
      </c>
      <c r="B65" s="235" t="str">
        <f>IF($C65&lt;&gt;"",VLOOKUP($N65,マスタ!$H$4:$K$51,3,TRUE),"")</f>
        <v/>
      </c>
      <c r="C65" s="236"/>
      <c r="D65" s="236"/>
      <c r="E65" s="236"/>
      <c r="F65" s="237" t="str">
        <f>IF($R65&lt;&gt;"",IF(VLOOKUP($R65,選手登録!$A$8:$H$57,8,FALSE)&lt;&gt;"",VLOOKUP($R65,選手登録!$A$8:$H$57,8,FALSE),団体登録!$B$7),"")</f>
        <v/>
      </c>
      <c r="G65" s="238"/>
      <c r="H65" s="333" t="str">
        <f t="shared" si="3"/>
        <v/>
      </c>
      <c r="I65" s="239"/>
      <c r="J65" s="233" t="str">
        <f>IF($AC65&gt;0,リスト!$Y$22,IF($AD65=1,リスト!$Y$21,IF($AD65=2,リスト!$Y$23,IF($AE65&gt;0,リスト!$Y$18,IF($AF65&gt;0,リスト!$Y$19,IF($AG65&gt;0,リスト!$Y$20,IF($AH65&gt;0,リスト!$Y$24,IF($AI65&gt;0,リスト!$Y$25,IF($AJ65&gt;0,リスト!$Y$26,"")))))))))</f>
        <v/>
      </c>
      <c r="K65" s="211" t="s">
        <v>149</v>
      </c>
      <c r="M65" s="212">
        <f t="shared" si="4"/>
        <v>58</v>
      </c>
      <c r="N65" s="212" t="str">
        <f>IF($C65&lt;&gt;"",VLOOKUP($C65,マスタ!$L$4:$U$51,9,FALSE),"")</f>
        <v/>
      </c>
      <c r="O65" s="212" t="str">
        <f>IF($C65&lt;&gt;"",VLOOKUP($N65,マスタ!$H$4:$I$51,2,TRUE),"")</f>
        <v/>
      </c>
      <c r="P65" s="212" t="str">
        <f>IF($N65&lt;&gt;"",VLOOKUP($N65,マスタ!$T$4:$W$51,3,FALSE),"")</f>
        <v/>
      </c>
      <c r="Q65" s="212" t="str">
        <f>IF($N65&lt;&gt;"",VLOOKUP($N65,マスタ!$T$4:$W$51,4,FALSE),"")</f>
        <v/>
      </c>
      <c r="R65" s="212" t="str">
        <f>IF($D65&lt;&gt;"",VLOOKUP($D65,選手登録!$N$8:$P$57,3,FALSE),"")</f>
        <v/>
      </c>
      <c r="S65" s="212" t="str">
        <f>IF($R65&lt;&gt;"",VLOOKUP($R65,選手登録!$M$8:$V$57,6,FALSE),"")</f>
        <v/>
      </c>
      <c r="T65" s="212" t="str">
        <f>IF($R65&lt;&gt;"",VLOOKUP($R65,選手登録!$M$8:$V$57,7,FALSE),"")</f>
        <v/>
      </c>
      <c r="U65" s="212" t="str">
        <f>IF($R65&lt;&gt;"",IF(VLOOKUP($R65,選手登録!$M$8:$U$57,9,FALSE)&lt;&gt;"",1,0),"")</f>
        <v/>
      </c>
      <c r="V65" s="212" t="str">
        <f>IF($E65&lt;&gt;"",VLOOKUP($E65,馬匹登録!$L$8:$N$57,3,FALSE),"")</f>
        <v/>
      </c>
      <c r="W65" s="212" t="str">
        <f>IF($V65&lt;&gt;"",IF(VLOOKUP($V65,馬匹登録!$N$8:$O$57,2,FALSE)&lt;&gt;"",1,0),"")</f>
        <v/>
      </c>
      <c r="X65" s="212" t="str">
        <f>IF($V65&lt;&gt;"",IF(VLOOKUP($V65,馬匹登録!$N$8:$Q$57,3,FALSE)&lt;&gt;"",1,0),"")</f>
        <v/>
      </c>
      <c r="Y65" s="212" t="str">
        <f>IF($V65&lt;&gt;"",IF(VLOOKUP($V65,馬匹登録!$N$8:$Q$57,4,FALSE)&lt;&gt;"",1,0),"")</f>
        <v/>
      </c>
      <c r="Z65" s="212" t="str">
        <f>IF($G65&lt;&gt;"",VLOOKUP($G65,リスト!$J$2:$K$5,2,FALSE),"")</f>
        <v/>
      </c>
      <c r="AA65" s="212" t="str">
        <f>IF($E65&lt;&gt;"",IFERROR(VLOOKUP($N65,マスタ!$H$4:$R$51,7+VLOOKUP($G65,リスト!$J$2:$K$5,2,FALSE),FALSE),"-"),"")</f>
        <v/>
      </c>
      <c r="AB65" s="212" t="str">
        <f t="shared" si="5"/>
        <v/>
      </c>
      <c r="AC65" s="212">
        <f>IF($AC$6=1,IFERROR(IF(AND($N65&lt;&gt;"",$R65&lt;&gt;""),IF(VLOOKUP($N65,マスタ!$T$4:$AC$51,4+$S65,FALSE)=0,1,0),0),1),0)</f>
        <v>0</v>
      </c>
      <c r="AD65" s="212">
        <f t="shared" si="6"/>
        <v>0</v>
      </c>
      <c r="AE65" s="212">
        <f>IF($AE$6=1,IFERROR(IF($G65="社馬連",IF(IFERROR(VLOOKUP($F65,リスト!$F$10:$H$51,2,FALSE),2)&lt;&gt;0,1,0),0),1),0)</f>
        <v>0</v>
      </c>
      <c r="AF65" s="212">
        <f t="shared" si="7"/>
        <v>0</v>
      </c>
      <c r="AG65" s="212">
        <f t="shared" si="8"/>
        <v>0</v>
      </c>
      <c r="AH65" s="212">
        <f t="shared" si="9"/>
        <v>0</v>
      </c>
      <c r="AI65" s="212">
        <f t="shared" si="10"/>
        <v>0</v>
      </c>
      <c r="AJ65" s="212">
        <f t="shared" si="11"/>
        <v>0</v>
      </c>
      <c r="AK65" s="212" t="str">
        <f t="shared" si="12"/>
        <v/>
      </c>
      <c r="AL65" s="212">
        <f t="shared" si="13"/>
        <v>0</v>
      </c>
      <c r="AM65" s="212" t="str">
        <f>IFERROR(VLOOKUP($N65,マスタ!$T$4:$AE$51,12,TRUE),"")</f>
        <v/>
      </c>
      <c r="AO65" s="212" t="str">
        <f t="shared" ca="1" si="14"/>
        <v/>
      </c>
      <c r="AP65" s="212" t="str">
        <f t="shared" ca="1" si="15"/>
        <v/>
      </c>
      <c r="AQ65" s="212" t="str">
        <f t="shared" ca="1" si="16"/>
        <v/>
      </c>
      <c r="AR65" s="212" t="str">
        <f t="shared" ca="1" si="0"/>
        <v/>
      </c>
      <c r="AS65" s="212" t="str">
        <f t="shared" ca="1" si="17"/>
        <v/>
      </c>
      <c r="AT65" s="212" t="str">
        <f t="shared" ca="1" si="18"/>
        <v/>
      </c>
      <c r="AU65" s="212" t="str">
        <f t="shared" ca="1" si="19"/>
        <v/>
      </c>
      <c r="AV65" s="212" t="str">
        <f t="shared" ca="1" si="20"/>
        <v/>
      </c>
      <c r="AX65" s="212">
        <f t="shared" si="27"/>
        <v>0</v>
      </c>
      <c r="AY65" s="212">
        <f t="shared" si="22"/>
        <v>58</v>
      </c>
      <c r="AZ65" s="212" t="str">
        <f t="shared" ca="1" si="23"/>
        <v/>
      </c>
      <c r="BA65" s="212" t="str">
        <f t="shared" si="25"/>
        <v/>
      </c>
      <c r="BB65" s="212" t="str">
        <f t="shared" si="24"/>
        <v/>
      </c>
      <c r="BC65" s="212" t="str">
        <f t="shared" ca="1" si="26"/>
        <v/>
      </c>
    </row>
    <row r="66" spans="1:55" ht="24" customHeight="1" x14ac:dyDescent="0.15">
      <c r="A66" s="234">
        <v>59</v>
      </c>
      <c r="B66" s="235" t="str">
        <f>IF($C66&lt;&gt;"",VLOOKUP($N66,マスタ!$H$4:$K$51,3,TRUE),"")</f>
        <v/>
      </c>
      <c r="C66" s="236"/>
      <c r="D66" s="236"/>
      <c r="E66" s="236"/>
      <c r="F66" s="237" t="str">
        <f>IF($R66&lt;&gt;"",IF(VLOOKUP($R66,選手登録!$A$8:$H$57,8,FALSE)&lt;&gt;"",VLOOKUP($R66,選手登録!$A$8:$H$57,8,FALSE),団体登録!$B$7),"")</f>
        <v/>
      </c>
      <c r="G66" s="238"/>
      <c r="H66" s="333" t="str">
        <f t="shared" si="3"/>
        <v/>
      </c>
      <c r="I66" s="239"/>
      <c r="J66" s="233" t="str">
        <f>IF($AC66&gt;0,リスト!$Y$22,IF($AD66=1,リスト!$Y$21,IF($AD66=2,リスト!$Y$23,IF($AE66&gt;0,リスト!$Y$18,IF($AF66&gt;0,リスト!$Y$19,IF($AG66&gt;0,リスト!$Y$20,IF($AH66&gt;0,リスト!$Y$24,IF($AI66&gt;0,リスト!$Y$25,IF($AJ66&gt;0,リスト!$Y$26,"")))))))))</f>
        <v/>
      </c>
      <c r="K66" s="211" t="s">
        <v>149</v>
      </c>
      <c r="M66" s="212">
        <f t="shared" si="4"/>
        <v>59</v>
      </c>
      <c r="N66" s="212" t="str">
        <f>IF($C66&lt;&gt;"",VLOOKUP($C66,マスタ!$L$4:$U$51,9,FALSE),"")</f>
        <v/>
      </c>
      <c r="O66" s="212" t="str">
        <f>IF($C66&lt;&gt;"",VLOOKUP($N66,マスタ!$H$4:$I$51,2,TRUE),"")</f>
        <v/>
      </c>
      <c r="P66" s="212" t="str">
        <f>IF($N66&lt;&gt;"",VLOOKUP($N66,マスタ!$T$4:$W$51,3,FALSE),"")</f>
        <v/>
      </c>
      <c r="Q66" s="212" t="str">
        <f>IF($N66&lt;&gt;"",VLOOKUP($N66,マスタ!$T$4:$W$51,4,FALSE),"")</f>
        <v/>
      </c>
      <c r="R66" s="212" t="str">
        <f>IF($D66&lt;&gt;"",VLOOKUP($D66,選手登録!$N$8:$P$57,3,FALSE),"")</f>
        <v/>
      </c>
      <c r="S66" s="212" t="str">
        <f>IF($R66&lt;&gt;"",VLOOKUP($R66,選手登録!$M$8:$V$57,6,FALSE),"")</f>
        <v/>
      </c>
      <c r="T66" s="212" t="str">
        <f>IF($R66&lt;&gt;"",VLOOKUP($R66,選手登録!$M$8:$V$57,7,FALSE),"")</f>
        <v/>
      </c>
      <c r="U66" s="212" t="str">
        <f>IF($R66&lt;&gt;"",IF(VLOOKUP($R66,選手登録!$M$8:$U$57,9,FALSE)&lt;&gt;"",1,0),"")</f>
        <v/>
      </c>
      <c r="V66" s="212" t="str">
        <f>IF($E66&lt;&gt;"",VLOOKUP($E66,馬匹登録!$L$8:$N$57,3,FALSE),"")</f>
        <v/>
      </c>
      <c r="W66" s="212" t="str">
        <f>IF($V66&lt;&gt;"",IF(VLOOKUP($V66,馬匹登録!$N$8:$O$57,2,FALSE)&lt;&gt;"",1,0),"")</f>
        <v/>
      </c>
      <c r="X66" s="212" t="str">
        <f>IF($V66&lt;&gt;"",IF(VLOOKUP($V66,馬匹登録!$N$8:$Q$57,3,FALSE)&lt;&gt;"",1,0),"")</f>
        <v/>
      </c>
      <c r="Y66" s="212" t="str">
        <f>IF($V66&lt;&gt;"",IF(VLOOKUP($V66,馬匹登録!$N$8:$Q$57,4,FALSE)&lt;&gt;"",1,0),"")</f>
        <v/>
      </c>
      <c r="Z66" s="212" t="str">
        <f>IF($G66&lt;&gt;"",VLOOKUP($G66,リスト!$J$2:$K$5,2,FALSE),"")</f>
        <v/>
      </c>
      <c r="AA66" s="212" t="str">
        <f>IF($E66&lt;&gt;"",IFERROR(VLOOKUP($N66,マスタ!$H$4:$R$51,7+VLOOKUP($G66,リスト!$J$2:$K$5,2,FALSE),FALSE),"-"),"")</f>
        <v/>
      </c>
      <c r="AB66" s="212" t="str">
        <f t="shared" si="5"/>
        <v/>
      </c>
      <c r="AC66" s="212">
        <f>IF($AC$6=1,IFERROR(IF(AND($N66&lt;&gt;"",$R66&lt;&gt;""),IF(VLOOKUP($N66,マスタ!$T$4:$AC$51,4+$S66,FALSE)=0,1,0),0),1),0)</f>
        <v>0</v>
      </c>
      <c r="AD66" s="212">
        <f t="shared" si="6"/>
        <v>0</v>
      </c>
      <c r="AE66" s="212">
        <f>IF($AE$6=1,IFERROR(IF($G66="社馬連",IF(IFERROR(VLOOKUP($F66,リスト!$F$10:$H$51,2,FALSE),2)&lt;&gt;0,1,0),0),1),0)</f>
        <v>0</v>
      </c>
      <c r="AF66" s="212">
        <f t="shared" si="7"/>
        <v>0</v>
      </c>
      <c r="AG66" s="212">
        <f t="shared" si="8"/>
        <v>0</v>
      </c>
      <c r="AH66" s="212">
        <f t="shared" si="9"/>
        <v>0</v>
      </c>
      <c r="AI66" s="212">
        <f t="shared" si="10"/>
        <v>0</v>
      </c>
      <c r="AJ66" s="212">
        <f t="shared" si="11"/>
        <v>0</v>
      </c>
      <c r="AK66" s="212" t="str">
        <f t="shared" si="12"/>
        <v/>
      </c>
      <c r="AL66" s="212">
        <f t="shared" si="13"/>
        <v>0</v>
      </c>
      <c r="AM66" s="212" t="str">
        <f>IFERROR(VLOOKUP($N66,マスタ!$T$4:$AE$51,12,TRUE),"")</f>
        <v/>
      </c>
      <c r="AO66" s="212" t="str">
        <f t="shared" ca="1" si="14"/>
        <v/>
      </c>
      <c r="AP66" s="212" t="str">
        <f t="shared" ca="1" si="15"/>
        <v/>
      </c>
      <c r="AQ66" s="212" t="str">
        <f t="shared" ca="1" si="16"/>
        <v/>
      </c>
      <c r="AR66" s="212" t="str">
        <f t="shared" ca="1" si="0"/>
        <v/>
      </c>
      <c r="AS66" s="212" t="str">
        <f t="shared" ca="1" si="17"/>
        <v/>
      </c>
      <c r="AT66" s="212" t="str">
        <f t="shared" ca="1" si="18"/>
        <v/>
      </c>
      <c r="AU66" s="212" t="str">
        <f t="shared" ca="1" si="19"/>
        <v/>
      </c>
      <c r="AV66" s="212" t="str">
        <f t="shared" ca="1" si="20"/>
        <v/>
      </c>
      <c r="AX66" s="212">
        <f t="shared" si="27"/>
        <v>0</v>
      </c>
      <c r="AY66" s="212">
        <f t="shared" si="22"/>
        <v>59</v>
      </c>
      <c r="AZ66" s="212" t="str">
        <f t="shared" ca="1" si="23"/>
        <v/>
      </c>
      <c r="BA66" s="212" t="str">
        <f t="shared" si="25"/>
        <v/>
      </c>
      <c r="BB66" s="212" t="str">
        <f t="shared" si="24"/>
        <v/>
      </c>
      <c r="BC66" s="212" t="str">
        <f t="shared" ca="1" si="26"/>
        <v/>
      </c>
    </row>
    <row r="67" spans="1:55" ht="24" customHeight="1" x14ac:dyDescent="0.15">
      <c r="A67" s="234">
        <v>60</v>
      </c>
      <c r="B67" s="235" t="str">
        <f>IF($C67&lt;&gt;"",VLOOKUP($N67,マスタ!$H$4:$K$51,3,TRUE),"")</f>
        <v/>
      </c>
      <c r="C67" s="236"/>
      <c r="D67" s="236"/>
      <c r="E67" s="236"/>
      <c r="F67" s="237" t="str">
        <f>IF($R67&lt;&gt;"",IF(VLOOKUP($R67,選手登録!$A$8:$H$57,8,FALSE)&lt;&gt;"",VLOOKUP($R67,選手登録!$A$8:$H$57,8,FALSE),団体登録!$B$7),"")</f>
        <v/>
      </c>
      <c r="G67" s="238"/>
      <c r="H67" s="333" t="str">
        <f t="shared" si="3"/>
        <v/>
      </c>
      <c r="I67" s="239"/>
      <c r="J67" s="233" t="str">
        <f>IF($AC67&gt;0,リスト!$Y$22,IF($AD67=1,リスト!$Y$21,IF($AD67=2,リスト!$Y$23,IF($AE67&gt;0,リスト!$Y$18,IF($AF67&gt;0,リスト!$Y$19,IF($AG67&gt;0,リスト!$Y$20,IF($AH67&gt;0,リスト!$Y$24,IF($AI67&gt;0,リスト!$Y$25,IF($AJ67&gt;0,リスト!$Y$26,"")))))))))</f>
        <v/>
      </c>
      <c r="K67" s="211" t="s">
        <v>149</v>
      </c>
      <c r="M67" s="212">
        <f t="shared" si="4"/>
        <v>60</v>
      </c>
      <c r="N67" s="212" t="str">
        <f>IF($C67&lt;&gt;"",VLOOKUP($C67,マスタ!$L$4:$U$51,9,FALSE),"")</f>
        <v/>
      </c>
      <c r="O67" s="212" t="str">
        <f>IF($C67&lt;&gt;"",VLOOKUP($N67,マスタ!$H$4:$I$51,2,TRUE),"")</f>
        <v/>
      </c>
      <c r="P67" s="212" t="str">
        <f>IF($N67&lt;&gt;"",VLOOKUP($N67,マスタ!$T$4:$W$51,3,FALSE),"")</f>
        <v/>
      </c>
      <c r="Q67" s="212" t="str">
        <f>IF($N67&lt;&gt;"",VLOOKUP($N67,マスタ!$T$4:$W$51,4,FALSE),"")</f>
        <v/>
      </c>
      <c r="R67" s="212" t="str">
        <f>IF($D67&lt;&gt;"",VLOOKUP($D67,選手登録!$N$8:$P$57,3,FALSE),"")</f>
        <v/>
      </c>
      <c r="S67" s="212" t="str">
        <f>IF($R67&lt;&gt;"",VLOOKUP($R67,選手登録!$M$8:$V$57,6,FALSE),"")</f>
        <v/>
      </c>
      <c r="T67" s="212" t="str">
        <f>IF($R67&lt;&gt;"",VLOOKUP($R67,選手登録!$M$8:$V$57,7,FALSE),"")</f>
        <v/>
      </c>
      <c r="U67" s="212" t="str">
        <f>IF($R67&lt;&gt;"",IF(VLOOKUP($R67,選手登録!$M$8:$U$57,9,FALSE)&lt;&gt;"",1,0),"")</f>
        <v/>
      </c>
      <c r="V67" s="212" t="str">
        <f>IF($E67&lt;&gt;"",VLOOKUP($E67,馬匹登録!$L$8:$N$57,3,FALSE),"")</f>
        <v/>
      </c>
      <c r="W67" s="212" t="str">
        <f>IF($V67&lt;&gt;"",IF(VLOOKUP($V67,馬匹登録!$N$8:$O$57,2,FALSE)&lt;&gt;"",1,0),"")</f>
        <v/>
      </c>
      <c r="X67" s="212" t="str">
        <f>IF($V67&lt;&gt;"",IF(VLOOKUP($V67,馬匹登録!$N$8:$Q$57,3,FALSE)&lt;&gt;"",1,0),"")</f>
        <v/>
      </c>
      <c r="Y67" s="212" t="str">
        <f>IF($V67&lt;&gt;"",IF(VLOOKUP($V67,馬匹登録!$N$8:$Q$57,4,FALSE)&lt;&gt;"",1,0),"")</f>
        <v/>
      </c>
      <c r="Z67" s="212" t="str">
        <f>IF($G67&lt;&gt;"",VLOOKUP($G67,リスト!$J$2:$K$5,2,FALSE),"")</f>
        <v/>
      </c>
      <c r="AA67" s="212" t="str">
        <f>IF($E67&lt;&gt;"",IFERROR(VLOOKUP($N67,マスタ!$H$4:$R$51,7+VLOOKUP($G67,リスト!$J$2:$K$5,2,FALSE),FALSE),"-"),"")</f>
        <v/>
      </c>
      <c r="AB67" s="212" t="str">
        <f t="shared" si="5"/>
        <v/>
      </c>
      <c r="AC67" s="212">
        <f>IF($AC$6=1,IFERROR(IF(AND($N67&lt;&gt;"",$R67&lt;&gt;""),IF(VLOOKUP($N67,マスタ!$T$4:$AC$51,4+$S67,FALSE)=0,1,0),0),1),0)</f>
        <v>0</v>
      </c>
      <c r="AD67" s="212">
        <f t="shared" si="6"/>
        <v>0</v>
      </c>
      <c r="AE67" s="212">
        <f>IF($AE$6=1,IFERROR(IF($G67="社馬連",IF(IFERROR(VLOOKUP($F67,リスト!$F$10:$H$51,2,FALSE),2)&lt;&gt;0,1,0),0),1),0)</f>
        <v>0</v>
      </c>
      <c r="AF67" s="212">
        <f t="shared" si="7"/>
        <v>0</v>
      </c>
      <c r="AG67" s="212">
        <f t="shared" si="8"/>
        <v>0</v>
      </c>
      <c r="AH67" s="212">
        <f t="shared" si="9"/>
        <v>0</v>
      </c>
      <c r="AI67" s="212">
        <f t="shared" si="10"/>
        <v>0</v>
      </c>
      <c r="AJ67" s="212">
        <f t="shared" si="11"/>
        <v>0</v>
      </c>
      <c r="AK67" s="212" t="str">
        <f t="shared" si="12"/>
        <v/>
      </c>
      <c r="AL67" s="212">
        <f t="shared" si="13"/>
        <v>0</v>
      </c>
      <c r="AM67" s="212" t="str">
        <f>IFERROR(VLOOKUP($N67,マスタ!$T$4:$AE$51,12,TRUE),"")</f>
        <v/>
      </c>
      <c r="AO67" s="212" t="str">
        <f t="shared" ca="1" si="14"/>
        <v/>
      </c>
      <c r="AP67" s="212" t="str">
        <f t="shared" ca="1" si="15"/>
        <v/>
      </c>
      <c r="AQ67" s="212" t="str">
        <f t="shared" ca="1" si="16"/>
        <v/>
      </c>
      <c r="AR67" s="212" t="str">
        <f t="shared" ca="1" si="0"/>
        <v/>
      </c>
      <c r="AS67" s="212" t="str">
        <f t="shared" ca="1" si="17"/>
        <v/>
      </c>
      <c r="AT67" s="212" t="str">
        <f t="shared" ca="1" si="18"/>
        <v/>
      </c>
      <c r="AU67" s="212" t="str">
        <f t="shared" ca="1" si="19"/>
        <v/>
      </c>
      <c r="AV67" s="212" t="str">
        <f t="shared" ca="1" si="20"/>
        <v/>
      </c>
      <c r="AX67" s="212">
        <f t="shared" si="27"/>
        <v>0</v>
      </c>
      <c r="AY67" s="212">
        <f t="shared" si="22"/>
        <v>60</v>
      </c>
      <c r="AZ67" s="212" t="str">
        <f t="shared" ca="1" si="23"/>
        <v/>
      </c>
      <c r="BA67" s="212" t="str">
        <f t="shared" si="25"/>
        <v/>
      </c>
      <c r="BB67" s="212" t="str">
        <f t="shared" si="24"/>
        <v/>
      </c>
      <c r="BC67" s="212" t="str">
        <f t="shared" ca="1" si="26"/>
        <v/>
      </c>
    </row>
    <row r="68" spans="1:55" ht="24" customHeight="1" x14ac:dyDescent="0.15">
      <c r="A68" s="234">
        <v>61</v>
      </c>
      <c r="B68" s="235" t="str">
        <f>IF($C68&lt;&gt;"",VLOOKUP($N68,マスタ!$H$4:$K$51,3,TRUE),"")</f>
        <v/>
      </c>
      <c r="C68" s="236"/>
      <c r="D68" s="236"/>
      <c r="E68" s="236"/>
      <c r="F68" s="237" t="str">
        <f>IF($R68&lt;&gt;"",IF(VLOOKUP($R68,選手登録!$A$8:$H$57,8,FALSE)&lt;&gt;"",VLOOKUP($R68,選手登録!$A$8:$H$57,8,FALSE),団体登録!$B$7),"")</f>
        <v/>
      </c>
      <c r="G68" s="238"/>
      <c r="H68" s="333" t="str">
        <f t="shared" si="3"/>
        <v/>
      </c>
      <c r="I68" s="239"/>
      <c r="J68" s="233" t="str">
        <f>IF($AC68&gt;0,リスト!$Y$22,IF($AD68=1,リスト!$Y$21,IF($AD68=2,リスト!$Y$23,IF($AE68&gt;0,リスト!$Y$18,IF($AF68&gt;0,リスト!$Y$19,IF($AG68&gt;0,リスト!$Y$20,IF($AH68&gt;0,リスト!$Y$24,IF($AI68&gt;0,リスト!$Y$25,IF($AJ68&gt;0,リスト!$Y$26,"")))))))))</f>
        <v/>
      </c>
      <c r="K68" s="211" t="s">
        <v>149</v>
      </c>
      <c r="M68" s="212">
        <f t="shared" si="4"/>
        <v>61</v>
      </c>
      <c r="N68" s="212" t="str">
        <f>IF($C68&lt;&gt;"",VLOOKUP($C68,マスタ!$L$4:$U$51,9,FALSE),"")</f>
        <v/>
      </c>
      <c r="O68" s="212" t="str">
        <f>IF($C68&lt;&gt;"",VLOOKUP($N68,マスタ!$H$4:$I$51,2,TRUE),"")</f>
        <v/>
      </c>
      <c r="P68" s="212" t="str">
        <f>IF($N68&lt;&gt;"",VLOOKUP($N68,マスタ!$T$4:$W$51,3,FALSE),"")</f>
        <v/>
      </c>
      <c r="Q68" s="212" t="str">
        <f>IF($N68&lt;&gt;"",VLOOKUP($N68,マスタ!$T$4:$W$51,4,FALSE),"")</f>
        <v/>
      </c>
      <c r="R68" s="212" t="str">
        <f>IF($D68&lt;&gt;"",VLOOKUP($D68,選手登録!$N$8:$P$57,3,FALSE),"")</f>
        <v/>
      </c>
      <c r="S68" s="212" t="str">
        <f>IF($R68&lt;&gt;"",VLOOKUP($R68,選手登録!$M$8:$V$57,6,FALSE),"")</f>
        <v/>
      </c>
      <c r="T68" s="212" t="str">
        <f>IF($R68&lt;&gt;"",VLOOKUP($R68,選手登録!$M$8:$V$57,7,FALSE),"")</f>
        <v/>
      </c>
      <c r="U68" s="212" t="str">
        <f>IF($R68&lt;&gt;"",IF(VLOOKUP($R68,選手登録!$M$8:$U$57,9,FALSE)&lt;&gt;"",1,0),"")</f>
        <v/>
      </c>
      <c r="V68" s="212" t="str">
        <f>IF($E68&lt;&gt;"",VLOOKUP($E68,馬匹登録!$L$8:$N$57,3,FALSE),"")</f>
        <v/>
      </c>
      <c r="W68" s="212" t="str">
        <f>IF($V68&lt;&gt;"",IF(VLOOKUP($V68,馬匹登録!$N$8:$O$57,2,FALSE)&lt;&gt;"",1,0),"")</f>
        <v/>
      </c>
      <c r="X68" s="212" t="str">
        <f>IF($V68&lt;&gt;"",IF(VLOOKUP($V68,馬匹登録!$N$8:$Q$57,3,FALSE)&lt;&gt;"",1,0),"")</f>
        <v/>
      </c>
      <c r="Y68" s="212" t="str">
        <f>IF($V68&lt;&gt;"",IF(VLOOKUP($V68,馬匹登録!$N$8:$Q$57,4,FALSE)&lt;&gt;"",1,0),"")</f>
        <v/>
      </c>
      <c r="Z68" s="212" t="str">
        <f>IF($G68&lt;&gt;"",VLOOKUP($G68,リスト!$J$2:$K$5,2,FALSE),"")</f>
        <v/>
      </c>
      <c r="AA68" s="212" t="str">
        <f>IF($E68&lt;&gt;"",IFERROR(VLOOKUP($N68,マスタ!$H$4:$R$51,7+VLOOKUP($G68,リスト!$J$2:$K$5,2,FALSE),FALSE),"-"),"")</f>
        <v/>
      </c>
      <c r="AB68" s="212" t="str">
        <f t="shared" si="5"/>
        <v/>
      </c>
      <c r="AC68" s="212">
        <f>IF($AC$6=1,IFERROR(IF(AND($N68&lt;&gt;"",$R68&lt;&gt;""),IF(VLOOKUP($N68,マスタ!$T$4:$AC$51,4+$S68,FALSE)=0,1,0),0),1),0)</f>
        <v>0</v>
      </c>
      <c r="AD68" s="212">
        <f t="shared" si="6"/>
        <v>0</v>
      </c>
      <c r="AE68" s="212">
        <f>IF($AE$6=1,IFERROR(IF($G68="社馬連",IF(IFERROR(VLOOKUP($F68,リスト!$F$10:$H$51,2,FALSE),2)&lt;&gt;0,1,0),0),1),0)</f>
        <v>0</v>
      </c>
      <c r="AF68" s="212">
        <f t="shared" si="7"/>
        <v>0</v>
      </c>
      <c r="AG68" s="212">
        <f t="shared" si="8"/>
        <v>0</v>
      </c>
      <c r="AH68" s="212">
        <f t="shared" si="9"/>
        <v>0</v>
      </c>
      <c r="AI68" s="212">
        <f t="shared" si="10"/>
        <v>0</v>
      </c>
      <c r="AJ68" s="212">
        <f t="shared" si="11"/>
        <v>0</v>
      </c>
      <c r="AK68" s="212" t="str">
        <f t="shared" si="12"/>
        <v/>
      </c>
      <c r="AL68" s="212">
        <f t="shared" si="13"/>
        <v>0</v>
      </c>
      <c r="AM68" s="212" t="str">
        <f>IFERROR(VLOOKUP($N68,マスタ!$T$4:$AE$51,12,TRUE),"")</f>
        <v/>
      </c>
      <c r="AO68" s="212" t="str">
        <f t="shared" ca="1" si="14"/>
        <v/>
      </c>
      <c r="AP68" s="212" t="str">
        <f t="shared" ca="1" si="15"/>
        <v/>
      </c>
      <c r="AQ68" s="212" t="str">
        <f t="shared" ca="1" si="16"/>
        <v/>
      </c>
      <c r="AR68" s="212" t="str">
        <f t="shared" ca="1" si="0"/>
        <v/>
      </c>
      <c r="AS68" s="212" t="str">
        <f t="shared" ca="1" si="17"/>
        <v/>
      </c>
      <c r="AT68" s="212" t="str">
        <f t="shared" ca="1" si="18"/>
        <v/>
      </c>
      <c r="AU68" s="212" t="str">
        <f t="shared" ca="1" si="19"/>
        <v/>
      </c>
      <c r="AV68" s="212" t="str">
        <f t="shared" ca="1" si="20"/>
        <v/>
      </c>
      <c r="AX68" s="212">
        <f t="shared" si="27"/>
        <v>0</v>
      </c>
      <c r="AY68" s="212">
        <f t="shared" si="22"/>
        <v>61</v>
      </c>
      <c r="AZ68" s="212" t="str">
        <f t="shared" ca="1" si="23"/>
        <v/>
      </c>
      <c r="BA68" s="212" t="str">
        <f t="shared" si="25"/>
        <v/>
      </c>
      <c r="BB68" s="212" t="str">
        <f t="shared" si="24"/>
        <v/>
      </c>
      <c r="BC68" s="212" t="str">
        <f t="shared" ca="1" si="26"/>
        <v/>
      </c>
    </row>
    <row r="69" spans="1:55" ht="24" customHeight="1" x14ac:dyDescent="0.15">
      <c r="A69" s="234">
        <v>62</v>
      </c>
      <c r="B69" s="235" t="str">
        <f>IF($C69&lt;&gt;"",VLOOKUP($N69,マスタ!$H$4:$K$51,3,TRUE),"")</f>
        <v/>
      </c>
      <c r="C69" s="236"/>
      <c r="D69" s="236"/>
      <c r="E69" s="236"/>
      <c r="F69" s="237" t="str">
        <f>IF($R69&lt;&gt;"",IF(VLOOKUP($R69,選手登録!$A$8:$H$57,8,FALSE)&lt;&gt;"",VLOOKUP($R69,選手登録!$A$8:$H$57,8,FALSE),団体登録!$B$7),"")</f>
        <v/>
      </c>
      <c r="G69" s="238"/>
      <c r="H69" s="333" t="str">
        <f t="shared" si="3"/>
        <v/>
      </c>
      <c r="I69" s="239"/>
      <c r="J69" s="233" t="str">
        <f>IF($AC69&gt;0,リスト!$Y$22,IF($AD69=1,リスト!$Y$21,IF($AD69=2,リスト!$Y$23,IF($AE69&gt;0,リスト!$Y$18,IF($AF69&gt;0,リスト!$Y$19,IF($AG69&gt;0,リスト!$Y$20,IF($AH69&gt;0,リスト!$Y$24,IF($AI69&gt;0,リスト!$Y$25,IF($AJ69&gt;0,リスト!$Y$26,"")))))))))</f>
        <v/>
      </c>
      <c r="K69" s="211" t="s">
        <v>149</v>
      </c>
      <c r="M69" s="212">
        <f t="shared" si="4"/>
        <v>62</v>
      </c>
      <c r="N69" s="212" t="str">
        <f>IF($C69&lt;&gt;"",VLOOKUP($C69,マスタ!$L$4:$U$51,9,FALSE),"")</f>
        <v/>
      </c>
      <c r="O69" s="212" t="str">
        <f>IF($C69&lt;&gt;"",VLOOKUP($N69,マスタ!$H$4:$I$51,2,TRUE),"")</f>
        <v/>
      </c>
      <c r="P69" s="212" t="str">
        <f>IF($N69&lt;&gt;"",VLOOKUP($N69,マスタ!$T$4:$W$51,3,FALSE),"")</f>
        <v/>
      </c>
      <c r="Q69" s="212" t="str">
        <f>IF($N69&lt;&gt;"",VLOOKUP($N69,マスタ!$T$4:$W$51,4,FALSE),"")</f>
        <v/>
      </c>
      <c r="R69" s="212" t="str">
        <f>IF($D69&lt;&gt;"",VLOOKUP($D69,選手登録!$N$8:$P$57,3,FALSE),"")</f>
        <v/>
      </c>
      <c r="S69" s="212" t="str">
        <f>IF($R69&lt;&gt;"",VLOOKUP($R69,選手登録!$M$8:$V$57,6,FALSE),"")</f>
        <v/>
      </c>
      <c r="T69" s="212" t="str">
        <f>IF($R69&lt;&gt;"",VLOOKUP($R69,選手登録!$M$8:$V$57,7,FALSE),"")</f>
        <v/>
      </c>
      <c r="U69" s="212" t="str">
        <f>IF($R69&lt;&gt;"",IF(VLOOKUP($R69,選手登録!$M$8:$U$57,9,FALSE)&lt;&gt;"",1,0),"")</f>
        <v/>
      </c>
      <c r="V69" s="212" t="str">
        <f>IF($E69&lt;&gt;"",VLOOKUP($E69,馬匹登録!$L$8:$N$57,3,FALSE),"")</f>
        <v/>
      </c>
      <c r="W69" s="212" t="str">
        <f>IF($V69&lt;&gt;"",IF(VLOOKUP($V69,馬匹登録!$N$8:$O$57,2,FALSE)&lt;&gt;"",1,0),"")</f>
        <v/>
      </c>
      <c r="X69" s="212" t="str">
        <f>IF($V69&lt;&gt;"",IF(VLOOKUP($V69,馬匹登録!$N$8:$Q$57,3,FALSE)&lt;&gt;"",1,0),"")</f>
        <v/>
      </c>
      <c r="Y69" s="212" t="str">
        <f>IF($V69&lt;&gt;"",IF(VLOOKUP($V69,馬匹登録!$N$8:$Q$57,4,FALSE)&lt;&gt;"",1,0),"")</f>
        <v/>
      </c>
      <c r="Z69" s="212" t="str">
        <f>IF($G69&lt;&gt;"",VLOOKUP($G69,リスト!$J$2:$K$5,2,FALSE),"")</f>
        <v/>
      </c>
      <c r="AA69" s="212" t="str">
        <f>IF($E69&lt;&gt;"",IFERROR(VLOOKUP($N69,マスタ!$H$4:$R$51,7+VLOOKUP($G69,リスト!$J$2:$K$5,2,FALSE),FALSE),"-"),"")</f>
        <v/>
      </c>
      <c r="AB69" s="212" t="str">
        <f t="shared" si="5"/>
        <v/>
      </c>
      <c r="AC69" s="212">
        <f>IF($AC$6=1,IFERROR(IF(AND($N69&lt;&gt;"",$R69&lt;&gt;""),IF(VLOOKUP($N69,マスタ!$T$4:$AC$51,4+$S69,FALSE)=0,1,0),0),1),0)</f>
        <v>0</v>
      </c>
      <c r="AD69" s="212">
        <f t="shared" si="6"/>
        <v>0</v>
      </c>
      <c r="AE69" s="212">
        <f>IF($AE$6=1,IFERROR(IF($G69="社馬連",IF(IFERROR(VLOOKUP($F69,リスト!$F$10:$H$51,2,FALSE),2)&lt;&gt;0,1,0),0),1),0)</f>
        <v>0</v>
      </c>
      <c r="AF69" s="212">
        <f t="shared" si="7"/>
        <v>0</v>
      </c>
      <c r="AG69" s="212">
        <f t="shared" si="8"/>
        <v>0</v>
      </c>
      <c r="AH69" s="212">
        <f t="shared" si="9"/>
        <v>0</v>
      </c>
      <c r="AI69" s="212">
        <f t="shared" si="10"/>
        <v>0</v>
      </c>
      <c r="AJ69" s="212">
        <f t="shared" si="11"/>
        <v>0</v>
      </c>
      <c r="AK69" s="212" t="str">
        <f t="shared" si="12"/>
        <v/>
      </c>
      <c r="AL69" s="212">
        <f t="shared" si="13"/>
        <v>0</v>
      </c>
      <c r="AM69" s="212" t="str">
        <f>IFERROR(VLOOKUP($N69,マスタ!$T$4:$AE$51,12,TRUE),"")</f>
        <v/>
      </c>
      <c r="AO69" s="212" t="str">
        <f t="shared" ca="1" si="14"/>
        <v/>
      </c>
      <c r="AP69" s="212" t="str">
        <f t="shared" ca="1" si="15"/>
        <v/>
      </c>
      <c r="AQ69" s="212" t="str">
        <f t="shared" ca="1" si="16"/>
        <v/>
      </c>
      <c r="AR69" s="212" t="str">
        <f t="shared" ca="1" si="0"/>
        <v/>
      </c>
      <c r="AS69" s="212" t="str">
        <f t="shared" ca="1" si="17"/>
        <v/>
      </c>
      <c r="AT69" s="212" t="str">
        <f t="shared" ca="1" si="18"/>
        <v/>
      </c>
      <c r="AU69" s="212" t="str">
        <f t="shared" ca="1" si="19"/>
        <v/>
      </c>
      <c r="AV69" s="212" t="str">
        <f t="shared" ca="1" si="20"/>
        <v/>
      </c>
      <c r="AX69" s="212">
        <f t="shared" si="27"/>
        <v>0</v>
      </c>
      <c r="AY69" s="212">
        <f t="shared" si="22"/>
        <v>62</v>
      </c>
      <c r="AZ69" s="212" t="str">
        <f t="shared" ca="1" si="23"/>
        <v/>
      </c>
      <c r="BA69" s="212" t="str">
        <f t="shared" si="25"/>
        <v/>
      </c>
      <c r="BB69" s="212" t="str">
        <f t="shared" si="24"/>
        <v/>
      </c>
      <c r="BC69" s="212" t="str">
        <f t="shared" ca="1" si="26"/>
        <v/>
      </c>
    </row>
    <row r="70" spans="1:55" ht="24" customHeight="1" x14ac:dyDescent="0.15">
      <c r="A70" s="234">
        <v>63</v>
      </c>
      <c r="B70" s="235" t="str">
        <f>IF($C70&lt;&gt;"",VLOOKUP($N70,マスタ!$H$4:$K$51,3,TRUE),"")</f>
        <v/>
      </c>
      <c r="C70" s="236"/>
      <c r="D70" s="236"/>
      <c r="E70" s="236"/>
      <c r="F70" s="237" t="str">
        <f>IF($R70&lt;&gt;"",IF(VLOOKUP($R70,選手登録!$A$8:$H$57,8,FALSE)&lt;&gt;"",VLOOKUP($R70,選手登録!$A$8:$H$57,8,FALSE),団体登録!$B$7),"")</f>
        <v/>
      </c>
      <c r="G70" s="238"/>
      <c r="H70" s="333" t="str">
        <f t="shared" si="3"/>
        <v/>
      </c>
      <c r="I70" s="239"/>
      <c r="J70" s="233" t="str">
        <f>IF($AC70&gt;0,リスト!$Y$22,IF($AD70=1,リスト!$Y$21,IF($AD70=2,リスト!$Y$23,IF($AE70&gt;0,リスト!$Y$18,IF($AF70&gt;0,リスト!$Y$19,IF($AG70&gt;0,リスト!$Y$20,IF($AH70&gt;0,リスト!$Y$24,IF($AI70&gt;0,リスト!$Y$25,IF($AJ70&gt;0,リスト!$Y$26,"")))))))))</f>
        <v/>
      </c>
      <c r="K70" s="211" t="s">
        <v>149</v>
      </c>
      <c r="M70" s="212">
        <f t="shared" si="4"/>
        <v>63</v>
      </c>
      <c r="N70" s="212" t="str">
        <f>IF($C70&lt;&gt;"",VLOOKUP($C70,マスタ!$L$4:$U$51,9,FALSE),"")</f>
        <v/>
      </c>
      <c r="O70" s="212" t="str">
        <f>IF($C70&lt;&gt;"",VLOOKUP($N70,マスタ!$H$4:$I$51,2,TRUE),"")</f>
        <v/>
      </c>
      <c r="P70" s="212" t="str">
        <f>IF($N70&lt;&gt;"",VLOOKUP($N70,マスタ!$T$4:$W$51,3,FALSE),"")</f>
        <v/>
      </c>
      <c r="Q70" s="212" t="str">
        <f>IF($N70&lt;&gt;"",VLOOKUP($N70,マスタ!$T$4:$W$51,4,FALSE),"")</f>
        <v/>
      </c>
      <c r="R70" s="212" t="str">
        <f>IF($D70&lt;&gt;"",VLOOKUP($D70,選手登録!$N$8:$P$57,3,FALSE),"")</f>
        <v/>
      </c>
      <c r="S70" s="212" t="str">
        <f>IF($R70&lt;&gt;"",VLOOKUP($R70,選手登録!$M$8:$V$57,6,FALSE),"")</f>
        <v/>
      </c>
      <c r="T70" s="212" t="str">
        <f>IF($R70&lt;&gt;"",VLOOKUP($R70,選手登録!$M$8:$V$57,7,FALSE),"")</f>
        <v/>
      </c>
      <c r="U70" s="212" t="str">
        <f>IF($R70&lt;&gt;"",IF(VLOOKUP($R70,選手登録!$M$8:$U$57,9,FALSE)&lt;&gt;"",1,0),"")</f>
        <v/>
      </c>
      <c r="V70" s="212" t="str">
        <f>IF($E70&lt;&gt;"",VLOOKUP($E70,馬匹登録!$L$8:$N$57,3,FALSE),"")</f>
        <v/>
      </c>
      <c r="W70" s="212" t="str">
        <f>IF($V70&lt;&gt;"",IF(VLOOKUP($V70,馬匹登録!$N$8:$O$57,2,FALSE)&lt;&gt;"",1,0),"")</f>
        <v/>
      </c>
      <c r="X70" s="212" t="str">
        <f>IF($V70&lt;&gt;"",IF(VLOOKUP($V70,馬匹登録!$N$8:$Q$57,3,FALSE)&lt;&gt;"",1,0),"")</f>
        <v/>
      </c>
      <c r="Y70" s="212" t="str">
        <f>IF($V70&lt;&gt;"",IF(VLOOKUP($V70,馬匹登録!$N$8:$Q$57,4,FALSE)&lt;&gt;"",1,0),"")</f>
        <v/>
      </c>
      <c r="Z70" s="212" t="str">
        <f>IF($G70&lt;&gt;"",VLOOKUP($G70,リスト!$J$2:$K$5,2,FALSE),"")</f>
        <v/>
      </c>
      <c r="AA70" s="212" t="str">
        <f>IF($E70&lt;&gt;"",IFERROR(VLOOKUP($N70,マスタ!$H$4:$R$51,7+VLOOKUP($G70,リスト!$J$2:$K$5,2,FALSE),FALSE),"-"),"")</f>
        <v/>
      </c>
      <c r="AB70" s="212" t="str">
        <f t="shared" si="5"/>
        <v/>
      </c>
      <c r="AC70" s="212">
        <f>IF($AC$6=1,IFERROR(IF(AND($N70&lt;&gt;"",$R70&lt;&gt;""),IF(VLOOKUP($N70,マスタ!$T$4:$AC$51,4+$S70,FALSE)=0,1,0),0),1),0)</f>
        <v>0</v>
      </c>
      <c r="AD70" s="212">
        <f t="shared" si="6"/>
        <v>0</v>
      </c>
      <c r="AE70" s="212">
        <f>IF($AE$6=1,IFERROR(IF($G70="社馬連",IF(IFERROR(VLOOKUP($F70,リスト!$F$10:$H$51,2,FALSE),2)&lt;&gt;0,1,0),0),1),0)</f>
        <v>0</v>
      </c>
      <c r="AF70" s="212">
        <f t="shared" si="7"/>
        <v>0</v>
      </c>
      <c r="AG70" s="212">
        <f t="shared" si="8"/>
        <v>0</v>
      </c>
      <c r="AH70" s="212">
        <f t="shared" si="9"/>
        <v>0</v>
      </c>
      <c r="AI70" s="212">
        <f t="shared" si="10"/>
        <v>0</v>
      </c>
      <c r="AJ70" s="212">
        <f t="shared" si="11"/>
        <v>0</v>
      </c>
      <c r="AK70" s="212" t="str">
        <f t="shared" si="12"/>
        <v/>
      </c>
      <c r="AL70" s="212">
        <f t="shared" si="13"/>
        <v>0</v>
      </c>
      <c r="AM70" s="212" t="str">
        <f>IFERROR(VLOOKUP($N70,マスタ!$T$4:$AE$51,12,TRUE),"")</f>
        <v/>
      </c>
      <c r="AO70" s="212" t="str">
        <f t="shared" ca="1" si="14"/>
        <v/>
      </c>
      <c r="AP70" s="212" t="str">
        <f t="shared" ca="1" si="15"/>
        <v/>
      </c>
      <c r="AQ70" s="212" t="str">
        <f t="shared" ca="1" si="16"/>
        <v/>
      </c>
      <c r="AR70" s="212" t="str">
        <f t="shared" ca="1" si="0"/>
        <v/>
      </c>
      <c r="AS70" s="212" t="str">
        <f t="shared" ca="1" si="17"/>
        <v/>
      </c>
      <c r="AT70" s="212" t="str">
        <f t="shared" ca="1" si="18"/>
        <v/>
      </c>
      <c r="AU70" s="212" t="str">
        <f t="shared" ca="1" si="19"/>
        <v/>
      </c>
      <c r="AV70" s="212" t="str">
        <f t="shared" ca="1" si="20"/>
        <v/>
      </c>
      <c r="AX70" s="212">
        <f t="shared" si="27"/>
        <v>0</v>
      </c>
      <c r="AY70" s="212">
        <f t="shared" si="22"/>
        <v>63</v>
      </c>
      <c r="AZ70" s="212" t="str">
        <f t="shared" ca="1" si="23"/>
        <v/>
      </c>
      <c r="BA70" s="212" t="str">
        <f t="shared" si="25"/>
        <v/>
      </c>
      <c r="BB70" s="212" t="str">
        <f t="shared" si="24"/>
        <v/>
      </c>
      <c r="BC70" s="212" t="str">
        <f t="shared" ca="1" si="26"/>
        <v/>
      </c>
    </row>
    <row r="71" spans="1:55" ht="24" customHeight="1" x14ac:dyDescent="0.15">
      <c r="A71" s="234">
        <v>64</v>
      </c>
      <c r="B71" s="235" t="str">
        <f>IF($C71&lt;&gt;"",VLOOKUP($N71,マスタ!$H$4:$K$51,3,TRUE),"")</f>
        <v/>
      </c>
      <c r="C71" s="236"/>
      <c r="D71" s="236"/>
      <c r="E71" s="236"/>
      <c r="F71" s="237" t="str">
        <f>IF($R71&lt;&gt;"",IF(VLOOKUP($R71,選手登録!$A$8:$H$57,8,FALSE)&lt;&gt;"",VLOOKUP($R71,選手登録!$A$8:$H$57,8,FALSE),団体登録!$B$7),"")</f>
        <v/>
      </c>
      <c r="G71" s="238"/>
      <c r="H71" s="333" t="str">
        <f t="shared" si="3"/>
        <v/>
      </c>
      <c r="I71" s="239"/>
      <c r="J71" s="233" t="str">
        <f>IF($AC71&gt;0,リスト!$Y$22,IF($AD71=1,リスト!$Y$21,IF($AD71=2,リスト!$Y$23,IF($AE71&gt;0,リスト!$Y$18,IF($AF71&gt;0,リスト!$Y$19,IF($AG71&gt;0,リスト!$Y$20,IF($AH71&gt;0,リスト!$Y$24,IF($AI71&gt;0,リスト!$Y$25,IF($AJ71&gt;0,リスト!$Y$26,"")))))))))</f>
        <v/>
      </c>
      <c r="K71" s="211" t="s">
        <v>149</v>
      </c>
      <c r="M71" s="212">
        <f t="shared" si="4"/>
        <v>64</v>
      </c>
      <c r="N71" s="212" t="str">
        <f>IF($C71&lt;&gt;"",VLOOKUP($C71,マスタ!$L$4:$U$51,9,FALSE),"")</f>
        <v/>
      </c>
      <c r="O71" s="212" t="str">
        <f>IF($C71&lt;&gt;"",VLOOKUP($N71,マスタ!$H$4:$I$51,2,TRUE),"")</f>
        <v/>
      </c>
      <c r="P71" s="212" t="str">
        <f>IF($N71&lt;&gt;"",VLOOKUP($N71,マスタ!$T$4:$W$51,3,FALSE),"")</f>
        <v/>
      </c>
      <c r="Q71" s="212" t="str">
        <f>IF($N71&lt;&gt;"",VLOOKUP($N71,マスタ!$T$4:$W$51,4,FALSE),"")</f>
        <v/>
      </c>
      <c r="R71" s="212" t="str">
        <f>IF($D71&lt;&gt;"",VLOOKUP($D71,選手登録!$N$8:$P$57,3,FALSE),"")</f>
        <v/>
      </c>
      <c r="S71" s="212" t="str">
        <f>IF($R71&lt;&gt;"",VLOOKUP($R71,選手登録!$M$8:$V$57,6,FALSE),"")</f>
        <v/>
      </c>
      <c r="T71" s="212" t="str">
        <f>IF($R71&lt;&gt;"",VLOOKUP($R71,選手登録!$M$8:$V$57,7,FALSE),"")</f>
        <v/>
      </c>
      <c r="U71" s="212" t="str">
        <f>IF($R71&lt;&gt;"",IF(VLOOKUP($R71,選手登録!$M$8:$U$57,9,FALSE)&lt;&gt;"",1,0),"")</f>
        <v/>
      </c>
      <c r="V71" s="212" t="str">
        <f>IF($E71&lt;&gt;"",VLOOKUP($E71,馬匹登録!$L$8:$N$57,3,FALSE),"")</f>
        <v/>
      </c>
      <c r="W71" s="212" t="str">
        <f>IF($V71&lt;&gt;"",IF(VLOOKUP($V71,馬匹登録!$N$8:$O$57,2,FALSE)&lt;&gt;"",1,0),"")</f>
        <v/>
      </c>
      <c r="X71" s="212" t="str">
        <f>IF($V71&lt;&gt;"",IF(VLOOKUP($V71,馬匹登録!$N$8:$Q$57,3,FALSE)&lt;&gt;"",1,0),"")</f>
        <v/>
      </c>
      <c r="Y71" s="212" t="str">
        <f>IF($V71&lt;&gt;"",IF(VLOOKUP($V71,馬匹登録!$N$8:$Q$57,4,FALSE)&lt;&gt;"",1,0),"")</f>
        <v/>
      </c>
      <c r="Z71" s="212" t="str">
        <f>IF($G71&lt;&gt;"",VLOOKUP($G71,リスト!$J$2:$K$5,2,FALSE),"")</f>
        <v/>
      </c>
      <c r="AA71" s="212" t="str">
        <f>IF($E71&lt;&gt;"",IFERROR(VLOOKUP($N71,マスタ!$H$4:$R$51,7+VLOOKUP($G71,リスト!$J$2:$K$5,2,FALSE),FALSE),"-"),"")</f>
        <v/>
      </c>
      <c r="AB71" s="212" t="str">
        <f t="shared" si="5"/>
        <v/>
      </c>
      <c r="AC71" s="212">
        <f>IF($AC$6=1,IFERROR(IF(AND($N71&lt;&gt;"",$R71&lt;&gt;""),IF(VLOOKUP($N71,マスタ!$T$4:$AC$51,4+$S71,FALSE)=0,1,0),0),1),0)</f>
        <v>0</v>
      </c>
      <c r="AD71" s="212">
        <f t="shared" si="6"/>
        <v>0</v>
      </c>
      <c r="AE71" s="212">
        <f>IF($AE$6=1,IFERROR(IF($G71="社馬連",IF(IFERROR(VLOOKUP($F71,リスト!$F$10:$H$51,2,FALSE),2)&lt;&gt;0,1,0),0),1),0)</f>
        <v>0</v>
      </c>
      <c r="AF71" s="212">
        <f t="shared" si="7"/>
        <v>0</v>
      </c>
      <c r="AG71" s="212">
        <f t="shared" si="8"/>
        <v>0</v>
      </c>
      <c r="AH71" s="212">
        <f t="shared" si="9"/>
        <v>0</v>
      </c>
      <c r="AI71" s="212">
        <f t="shared" si="10"/>
        <v>0</v>
      </c>
      <c r="AJ71" s="212">
        <f t="shared" si="11"/>
        <v>0</v>
      </c>
      <c r="AK71" s="212" t="str">
        <f t="shared" si="12"/>
        <v/>
      </c>
      <c r="AL71" s="212">
        <f t="shared" si="13"/>
        <v>0</v>
      </c>
      <c r="AM71" s="212" t="str">
        <f>IFERROR(VLOOKUP($N71,マスタ!$T$4:$AE$51,12,TRUE),"")</f>
        <v/>
      </c>
      <c r="AO71" s="212" t="str">
        <f t="shared" ca="1" si="14"/>
        <v/>
      </c>
      <c r="AP71" s="212" t="str">
        <f t="shared" ca="1" si="15"/>
        <v/>
      </c>
      <c r="AQ71" s="212" t="str">
        <f t="shared" ca="1" si="16"/>
        <v/>
      </c>
      <c r="AR71" s="212" t="str">
        <f t="shared" ca="1" si="0"/>
        <v/>
      </c>
      <c r="AS71" s="212" t="str">
        <f t="shared" ca="1" si="17"/>
        <v/>
      </c>
      <c r="AT71" s="212" t="str">
        <f t="shared" ca="1" si="18"/>
        <v/>
      </c>
      <c r="AU71" s="212" t="str">
        <f t="shared" ca="1" si="19"/>
        <v/>
      </c>
      <c r="AV71" s="212" t="str">
        <f t="shared" ca="1" si="20"/>
        <v/>
      </c>
      <c r="AX71" s="212">
        <f t="shared" si="27"/>
        <v>0</v>
      </c>
      <c r="AY71" s="212">
        <f t="shared" si="22"/>
        <v>64</v>
      </c>
      <c r="AZ71" s="212" t="str">
        <f t="shared" ca="1" si="23"/>
        <v/>
      </c>
      <c r="BA71" s="212" t="str">
        <f t="shared" si="25"/>
        <v/>
      </c>
      <c r="BB71" s="212" t="str">
        <f t="shared" si="24"/>
        <v/>
      </c>
      <c r="BC71" s="212" t="str">
        <f t="shared" ca="1" si="26"/>
        <v/>
      </c>
    </row>
    <row r="72" spans="1:55" ht="24" customHeight="1" x14ac:dyDescent="0.15">
      <c r="A72" s="234">
        <v>65</v>
      </c>
      <c r="B72" s="235" t="str">
        <f>IF($C72&lt;&gt;"",VLOOKUP($N72,マスタ!$H$4:$K$51,3,TRUE),"")</f>
        <v/>
      </c>
      <c r="C72" s="236"/>
      <c r="D72" s="236"/>
      <c r="E72" s="236"/>
      <c r="F72" s="237" t="str">
        <f>IF($R72&lt;&gt;"",IF(VLOOKUP($R72,選手登録!$A$8:$H$57,8,FALSE)&lt;&gt;"",VLOOKUP($R72,選手登録!$A$8:$H$57,8,FALSE),団体登録!$B$7),"")</f>
        <v/>
      </c>
      <c r="G72" s="238"/>
      <c r="H72" s="333" t="str">
        <f t="shared" si="3"/>
        <v/>
      </c>
      <c r="I72" s="239"/>
      <c r="J72" s="233" t="str">
        <f>IF($AC72&gt;0,リスト!$Y$22,IF($AD72=1,リスト!$Y$21,IF($AD72=2,リスト!$Y$23,IF($AE72&gt;0,リスト!$Y$18,IF($AF72&gt;0,リスト!$Y$19,IF($AG72&gt;0,リスト!$Y$20,IF($AH72&gt;0,リスト!$Y$24,IF($AI72&gt;0,リスト!$Y$25,IF($AJ72&gt;0,リスト!$Y$26,"")))))))))</f>
        <v/>
      </c>
      <c r="K72" s="211" t="s">
        <v>149</v>
      </c>
      <c r="M72" s="212">
        <f t="shared" si="4"/>
        <v>65</v>
      </c>
      <c r="N72" s="212" t="str">
        <f>IF($C72&lt;&gt;"",VLOOKUP($C72,マスタ!$L$4:$U$51,9,FALSE),"")</f>
        <v/>
      </c>
      <c r="O72" s="212" t="str">
        <f>IF($C72&lt;&gt;"",VLOOKUP($N72,マスタ!$H$4:$I$51,2,TRUE),"")</f>
        <v/>
      </c>
      <c r="P72" s="212" t="str">
        <f>IF($N72&lt;&gt;"",VLOOKUP($N72,マスタ!$T$4:$W$51,3,FALSE),"")</f>
        <v/>
      </c>
      <c r="Q72" s="212" t="str">
        <f>IF($N72&lt;&gt;"",VLOOKUP($N72,マスタ!$T$4:$W$51,4,FALSE),"")</f>
        <v/>
      </c>
      <c r="R72" s="212" t="str">
        <f>IF($D72&lt;&gt;"",VLOOKUP($D72,選手登録!$N$8:$P$57,3,FALSE),"")</f>
        <v/>
      </c>
      <c r="S72" s="212" t="str">
        <f>IF($R72&lt;&gt;"",VLOOKUP($R72,選手登録!$M$8:$V$57,6,FALSE),"")</f>
        <v/>
      </c>
      <c r="T72" s="212" t="str">
        <f>IF($R72&lt;&gt;"",VLOOKUP($R72,選手登録!$M$8:$V$57,7,FALSE),"")</f>
        <v/>
      </c>
      <c r="U72" s="212" t="str">
        <f>IF($R72&lt;&gt;"",IF(VLOOKUP($R72,選手登録!$M$8:$U$57,9,FALSE)&lt;&gt;"",1,0),"")</f>
        <v/>
      </c>
      <c r="V72" s="212" t="str">
        <f>IF($E72&lt;&gt;"",VLOOKUP($E72,馬匹登録!$L$8:$N$57,3,FALSE),"")</f>
        <v/>
      </c>
      <c r="W72" s="212" t="str">
        <f>IF($V72&lt;&gt;"",IF(VLOOKUP($V72,馬匹登録!$N$8:$O$57,2,FALSE)&lt;&gt;"",1,0),"")</f>
        <v/>
      </c>
      <c r="X72" s="212" t="str">
        <f>IF($V72&lt;&gt;"",IF(VLOOKUP($V72,馬匹登録!$N$8:$Q$57,3,FALSE)&lt;&gt;"",1,0),"")</f>
        <v/>
      </c>
      <c r="Y72" s="212" t="str">
        <f>IF($V72&lt;&gt;"",IF(VLOOKUP($V72,馬匹登録!$N$8:$Q$57,4,FALSE)&lt;&gt;"",1,0),"")</f>
        <v/>
      </c>
      <c r="Z72" s="212" t="str">
        <f>IF($G72&lt;&gt;"",VLOOKUP($G72,リスト!$J$2:$K$5,2,FALSE),"")</f>
        <v/>
      </c>
      <c r="AA72" s="212" t="str">
        <f>IF($E72&lt;&gt;"",IFERROR(VLOOKUP($N72,マスタ!$H$4:$R$51,7+VLOOKUP($G72,リスト!$J$2:$K$5,2,FALSE),FALSE),"-"),"")</f>
        <v/>
      </c>
      <c r="AB72" s="212" t="str">
        <f t="shared" si="5"/>
        <v/>
      </c>
      <c r="AC72" s="212">
        <f>IF($AC$6=1,IFERROR(IF(AND($N72&lt;&gt;"",$R72&lt;&gt;""),IF(VLOOKUP($N72,マスタ!$T$4:$AC$51,4+$S72,FALSE)=0,1,0),0),1),0)</f>
        <v>0</v>
      </c>
      <c r="AD72" s="212">
        <f t="shared" si="6"/>
        <v>0</v>
      </c>
      <c r="AE72" s="212">
        <f>IF($AE$6=1,IFERROR(IF($G72="社馬連",IF(IFERROR(VLOOKUP($F72,リスト!$F$10:$H$51,2,FALSE),2)&lt;&gt;0,1,0),0),1),0)</f>
        <v>0</v>
      </c>
      <c r="AF72" s="212">
        <f t="shared" si="7"/>
        <v>0</v>
      </c>
      <c r="AG72" s="212">
        <f t="shared" si="8"/>
        <v>0</v>
      </c>
      <c r="AH72" s="212">
        <f t="shared" si="9"/>
        <v>0</v>
      </c>
      <c r="AI72" s="212">
        <f t="shared" si="10"/>
        <v>0</v>
      </c>
      <c r="AJ72" s="212">
        <f t="shared" si="11"/>
        <v>0</v>
      </c>
      <c r="AK72" s="212" t="str">
        <f t="shared" si="12"/>
        <v/>
      </c>
      <c r="AL72" s="212">
        <f t="shared" si="13"/>
        <v>0</v>
      </c>
      <c r="AM72" s="212" t="str">
        <f>IFERROR(VLOOKUP($N72,マスタ!$T$4:$AE$51,12,TRUE),"")</f>
        <v/>
      </c>
      <c r="AO72" s="212" t="str">
        <f t="shared" ca="1" si="14"/>
        <v/>
      </c>
      <c r="AP72" s="212" t="str">
        <f t="shared" ca="1" si="15"/>
        <v/>
      </c>
      <c r="AQ72" s="212" t="str">
        <f t="shared" ca="1" si="16"/>
        <v/>
      </c>
      <c r="AR72" s="212" t="str">
        <f t="shared" ref="AR72:AR107" ca="1" si="28">IF($AO72&lt;&gt;"",VLOOKUP($AO72,$M$8:$AB$107,10),"")</f>
        <v/>
      </c>
      <c r="AS72" s="212" t="str">
        <f t="shared" ca="1" si="17"/>
        <v/>
      </c>
      <c r="AT72" s="212" t="str">
        <f t="shared" ca="1" si="18"/>
        <v/>
      </c>
      <c r="AU72" s="212" t="str">
        <f t="shared" ca="1" si="19"/>
        <v/>
      </c>
      <c r="AV72" s="212" t="str">
        <f t="shared" ca="1" si="20"/>
        <v/>
      </c>
      <c r="AX72" s="212">
        <f t="shared" si="27"/>
        <v>0</v>
      </c>
      <c r="AY72" s="212">
        <f t="shared" si="22"/>
        <v>65</v>
      </c>
      <c r="AZ72" s="212" t="str">
        <f t="shared" ca="1" si="23"/>
        <v/>
      </c>
      <c r="BA72" s="212" t="str">
        <f t="shared" ref="BA72:BA107" si="29">IF($BB72&lt;&gt;"",TEXT(VLOOKUP($BB72,$M$8:$O$107,2),"000")&amp;TEXT($BB72,"-000"),"")</f>
        <v/>
      </c>
      <c r="BB72" s="212" t="str">
        <f t="shared" si="24"/>
        <v/>
      </c>
      <c r="BC72" s="212" t="str">
        <f t="shared" ref="BC72:BC103" ca="1" si="30">IF($BB72&lt;&gt;"",VLOOKUP(SMALL(INDIRECT($BA$1),ROW($C65)),INDIRECT($BA$2),3,FALSE),"")</f>
        <v/>
      </c>
    </row>
    <row r="73" spans="1:55" ht="24" customHeight="1" x14ac:dyDescent="0.15">
      <c r="A73" s="234">
        <v>66</v>
      </c>
      <c r="B73" s="235" t="str">
        <f>IF($C73&lt;&gt;"",VLOOKUP($N73,マスタ!$H$4:$K$51,3,TRUE),"")</f>
        <v/>
      </c>
      <c r="C73" s="236"/>
      <c r="D73" s="236"/>
      <c r="E73" s="236"/>
      <c r="F73" s="237" t="str">
        <f>IF($R73&lt;&gt;"",IF(VLOOKUP($R73,選手登録!$A$8:$H$57,8,FALSE)&lt;&gt;"",VLOOKUP($R73,選手登録!$A$8:$H$57,8,FALSE),団体登録!$B$7),"")</f>
        <v/>
      </c>
      <c r="G73" s="238"/>
      <c r="H73" s="333" t="str">
        <f t="shared" ref="H73:H107" si="31">IF(AND($N73&lt;&gt;"",$G73&lt;&gt;"",$S73&lt;&gt;""),IF(OR($J73&lt;&gt;"",$AA73="-"),$AA$3,$AA73),"")</f>
        <v/>
      </c>
      <c r="I73" s="239"/>
      <c r="J73" s="233" t="str">
        <f>IF($AC73&gt;0,リスト!$Y$22,IF($AD73=1,リスト!$Y$21,IF($AD73=2,リスト!$Y$23,IF($AE73&gt;0,リスト!$Y$18,IF($AF73&gt;0,リスト!$Y$19,IF($AG73&gt;0,リスト!$Y$20,IF($AH73&gt;0,リスト!$Y$24,IF($AI73&gt;0,リスト!$Y$25,IF($AJ73&gt;0,リスト!$Y$26,"")))))))))</f>
        <v/>
      </c>
      <c r="K73" s="211" t="s">
        <v>149</v>
      </c>
      <c r="M73" s="212">
        <f t="shared" ref="M73:M107" si="32">A73</f>
        <v>66</v>
      </c>
      <c r="N73" s="212" t="str">
        <f>IF($C73&lt;&gt;"",VLOOKUP($C73,マスタ!$L$4:$U$51,9,FALSE),"")</f>
        <v/>
      </c>
      <c r="O73" s="212" t="str">
        <f>IF($C73&lt;&gt;"",VLOOKUP($N73,マスタ!$H$4:$I$51,2,TRUE),"")</f>
        <v/>
      </c>
      <c r="P73" s="212" t="str">
        <f>IF($N73&lt;&gt;"",VLOOKUP($N73,マスタ!$T$4:$W$51,3,FALSE),"")</f>
        <v/>
      </c>
      <c r="Q73" s="212" t="str">
        <f>IF($N73&lt;&gt;"",VLOOKUP($N73,マスタ!$T$4:$W$51,4,FALSE),"")</f>
        <v/>
      </c>
      <c r="R73" s="212" t="str">
        <f>IF($D73&lt;&gt;"",VLOOKUP($D73,選手登録!$N$8:$P$57,3,FALSE),"")</f>
        <v/>
      </c>
      <c r="S73" s="212" t="str">
        <f>IF($R73&lt;&gt;"",VLOOKUP($R73,選手登録!$M$8:$V$57,6,FALSE),"")</f>
        <v/>
      </c>
      <c r="T73" s="212" t="str">
        <f>IF($R73&lt;&gt;"",VLOOKUP($R73,選手登録!$M$8:$V$57,7,FALSE),"")</f>
        <v/>
      </c>
      <c r="U73" s="212" t="str">
        <f>IF($R73&lt;&gt;"",IF(VLOOKUP($R73,選手登録!$M$8:$U$57,9,FALSE)&lt;&gt;"",1,0),"")</f>
        <v/>
      </c>
      <c r="V73" s="212" t="str">
        <f>IF($E73&lt;&gt;"",VLOOKUP($E73,馬匹登録!$L$8:$N$57,3,FALSE),"")</f>
        <v/>
      </c>
      <c r="W73" s="212" t="str">
        <f>IF($V73&lt;&gt;"",IF(VLOOKUP($V73,馬匹登録!$N$8:$O$57,2,FALSE)&lt;&gt;"",1,0),"")</f>
        <v/>
      </c>
      <c r="X73" s="212" t="str">
        <f>IF($V73&lt;&gt;"",IF(VLOOKUP($V73,馬匹登録!$N$8:$Q$57,3,FALSE)&lt;&gt;"",1,0),"")</f>
        <v/>
      </c>
      <c r="Y73" s="212" t="str">
        <f>IF($V73&lt;&gt;"",IF(VLOOKUP($V73,馬匹登録!$N$8:$Q$57,4,FALSE)&lt;&gt;"",1,0),"")</f>
        <v/>
      </c>
      <c r="Z73" s="212" t="str">
        <f>IF($G73&lt;&gt;"",VLOOKUP($G73,リスト!$J$2:$K$5,2,FALSE),"")</f>
        <v/>
      </c>
      <c r="AA73" s="212" t="str">
        <f>IF($E73&lt;&gt;"",IFERROR(VLOOKUP($N73,マスタ!$H$4:$R$51,7+VLOOKUP($G73,リスト!$J$2:$K$5,2,FALSE),FALSE),"-"),"")</f>
        <v/>
      </c>
      <c r="AB73" s="212" t="str">
        <f t="shared" ref="AB73:AB107" si="33">IF(AND($E73&lt;&gt;"",$I73&lt;&gt;""),$I73,"")</f>
        <v/>
      </c>
      <c r="AC73" s="212">
        <f>IF($AC$6=1,IFERROR(IF(AND($N73&lt;&gt;"",$R73&lt;&gt;""),IF(VLOOKUP($N73,マスタ!$T$4:$AC$51,4+$S73,FALSE)=0,1,0),0),1),0)</f>
        <v>0</v>
      </c>
      <c r="AD73" s="212">
        <f t="shared" ref="AD73:AD107" si="34">IF($AD$6=2,IFERROR(IF(OR($H73="-",AND($Z73=3,NOT(OR($S73=3,$S73=4,$S73=5))),AND($Z73=2,$S73&lt;&gt;2)),1,IF(AND($O73&lt;&gt;"",$R73&lt;&gt;"",$H73=""),2,0)),1),0)</f>
        <v>0</v>
      </c>
      <c r="AE73" s="212">
        <f>IF($AE$6=1,IFERROR(IF($G73="社馬連",IF(IFERROR(VLOOKUP($F73,リスト!$F$10:$H$51,2,FALSE),2)&lt;&gt;0,1,0),0),1),0)</f>
        <v>0</v>
      </c>
      <c r="AF73" s="212">
        <f t="shared" ref="AF73:AF107" si="35">IF($AF$6=1,IFERROR(IF($AL73&gt;1,1,0),1),0)</f>
        <v>0</v>
      </c>
      <c r="AG73" s="212">
        <f t="shared" ref="AG73:AG107" si="36">IF($AG$6=1,IFERROR(IF(AND($N73&lt;&gt;"",$R73&lt;&gt;"",$V73&lt;&gt;""),IF(AND($P73="Y",OR($U73=0,$W73=0)),1,0),0),1),0)</f>
        <v>0</v>
      </c>
      <c r="AH73" s="212">
        <f t="shared" ref="AH73:AH107" si="37">IF($AH$6=1,IFERROR(IF(AND($N73&lt;&gt;"",OR($N73=28,$N73=36),$X73&lt;&gt;"",$X73=0),1,0),1),0)</f>
        <v>0</v>
      </c>
      <c r="AI73" s="212">
        <f t="shared" ref="AI73:AI107" si="38">IF($AI$6=1,IFERROR(IF(AND($N73&lt;&gt;"",$N73=28,$Y73&lt;&gt;"",$Y73=0),1,0),1),0)</f>
        <v>0</v>
      </c>
      <c r="AJ73" s="212">
        <f t="shared" ref="AJ73:AJ107" si="39">IF($AJ$6=1, IFERROR(IF(AND($N73&lt;&gt;"", OR(AND($N73&gt;=4, $N73&lt;=15), AND($N73&gt;=19, $N73&lt;=20),AND($N73&gt;=22, $N73&lt;=36), AND($N73&gt;=40, $N73&lt;=44)), $S73&lt;&gt;"", $S73=6, $Z73&lt;&gt;"", $Z73=1), 1, 0), 1), 0)</f>
        <v>0</v>
      </c>
      <c r="AK73" s="212" t="str">
        <f t="shared" ref="AK73:AK107" si="40">IF(AND($O73&lt;&gt;"",$R73&lt;&gt;"",$V73&lt;&gt;""),$O73&amp;"-"&amp;$R73&amp;"-"&amp;$V73,"")</f>
        <v/>
      </c>
      <c r="AL73" s="212">
        <f t="shared" ref="AL73:AL107" si="41">IF($AK73&lt;&gt;"",COUNTIF($AK$8:$AK$87,$AK73),0)</f>
        <v>0</v>
      </c>
      <c r="AM73" s="212" t="str">
        <f>IFERROR(VLOOKUP($N73,マスタ!$T$4:$AE$51,12,TRUE),"")</f>
        <v/>
      </c>
      <c r="AO73" s="212" t="str">
        <f t="shared" ref="AO73:AO107" ca="1" si="42">IF($BC73&lt;&gt;"",$BC73,"")</f>
        <v/>
      </c>
      <c r="AP73" s="212" t="str">
        <f t="shared" ref="AP73:AP107" ca="1" si="43">IF($AO73&lt;&gt;"",VLOOKUP($AO73,$M$8:$AB$107,2),"")</f>
        <v/>
      </c>
      <c r="AQ73" s="212" t="str">
        <f t="shared" ref="AQ73:AQ107" ca="1" si="44">IF($AO73&lt;&gt;"",VLOOKUP($AO73,$M$8:$AB$107,6),"")</f>
        <v/>
      </c>
      <c r="AR73" s="212" t="str">
        <f t="shared" ca="1" si="28"/>
        <v/>
      </c>
      <c r="AS73" s="212" t="str">
        <f t="shared" ref="AS73:AS107" ca="1" si="45">IF($AO73&lt;&gt;"",VLOOKUP($AO73,$M$8:$AB$107,14),"")</f>
        <v/>
      </c>
      <c r="AT73" s="212" t="str">
        <f t="shared" ref="AT73:AT107" ca="1" si="46">IF($AO73&lt;&gt;"",VLOOKUP($AO73,$M$8:$AB$107,15),"")</f>
        <v/>
      </c>
      <c r="AU73" s="212" t="str">
        <f t="shared" ref="AU73:AU107" ca="1" si="47">IF($AO73&lt;&gt;"",SUM(INDIRECT(ADDRESS(ROW($AO$7)+MATCH($AO73,$M$8:$M$107,0),COLUMN($AC$8),1,1)&amp;":"&amp;ADDRESS(ROW($AO$7)+MATCH($AO73,$M$8:$M$107,0),COLUMN($AJ$8),1,1))),"")</f>
        <v/>
      </c>
      <c r="AV73" s="212" t="str">
        <f t="shared" ref="AV73:AV107" ca="1" si="48">IF($AO73&lt;&gt;"",VLOOKUP($AO73,$M$8:$AB$107,16),"")</f>
        <v/>
      </c>
      <c r="AX73" s="212">
        <f t="shared" ref="AX73:AX107" si="49">IF($N73&lt;&gt;"",$AX72+1,$AX72)</f>
        <v>0</v>
      </c>
      <c r="AY73" s="212">
        <f t="shared" si="22"/>
        <v>66</v>
      </c>
      <c r="AZ73" s="212" t="str">
        <f t="shared" ca="1" si="23"/>
        <v/>
      </c>
      <c r="BA73" s="212" t="str">
        <f t="shared" si="29"/>
        <v/>
      </c>
      <c r="BB73" s="212" t="str">
        <f t="shared" si="24"/>
        <v/>
      </c>
      <c r="BC73" s="212" t="str">
        <f t="shared" ca="1" si="30"/>
        <v/>
      </c>
    </row>
    <row r="74" spans="1:55" ht="24" customHeight="1" x14ac:dyDescent="0.15">
      <c r="A74" s="234">
        <v>67</v>
      </c>
      <c r="B74" s="235" t="str">
        <f>IF($C74&lt;&gt;"",VLOOKUP($N74,マスタ!$H$4:$K$51,3,TRUE),"")</f>
        <v/>
      </c>
      <c r="C74" s="236"/>
      <c r="D74" s="236"/>
      <c r="E74" s="236"/>
      <c r="F74" s="237" t="str">
        <f>IF($R74&lt;&gt;"",IF(VLOOKUP($R74,選手登録!$A$8:$H$57,8,FALSE)&lt;&gt;"",VLOOKUP($R74,選手登録!$A$8:$H$57,8,FALSE),団体登録!$B$7),"")</f>
        <v/>
      </c>
      <c r="G74" s="238"/>
      <c r="H74" s="333" t="str">
        <f t="shared" si="31"/>
        <v/>
      </c>
      <c r="I74" s="239"/>
      <c r="J74" s="233" t="str">
        <f>IF($AC74&gt;0,リスト!$Y$22,IF($AD74=1,リスト!$Y$21,IF($AD74=2,リスト!$Y$23,IF($AE74&gt;0,リスト!$Y$18,IF($AF74&gt;0,リスト!$Y$19,IF($AG74&gt;0,リスト!$Y$20,IF($AH74&gt;0,リスト!$Y$24,IF($AI74&gt;0,リスト!$Y$25,IF($AJ74&gt;0,リスト!$Y$26,"")))))))))</f>
        <v/>
      </c>
      <c r="K74" s="211" t="s">
        <v>149</v>
      </c>
      <c r="M74" s="212">
        <f t="shared" si="32"/>
        <v>67</v>
      </c>
      <c r="N74" s="212" t="str">
        <f>IF($C74&lt;&gt;"",VLOOKUP($C74,マスタ!$L$4:$U$51,9,FALSE),"")</f>
        <v/>
      </c>
      <c r="O74" s="212" t="str">
        <f>IF($C74&lt;&gt;"",VLOOKUP($N74,マスタ!$H$4:$I$51,2,TRUE),"")</f>
        <v/>
      </c>
      <c r="P74" s="212" t="str">
        <f>IF($N74&lt;&gt;"",VLOOKUP($N74,マスタ!$T$4:$W$51,3,FALSE),"")</f>
        <v/>
      </c>
      <c r="Q74" s="212" t="str">
        <f>IF($N74&lt;&gt;"",VLOOKUP($N74,マスタ!$T$4:$W$51,4,FALSE),"")</f>
        <v/>
      </c>
      <c r="R74" s="212" t="str">
        <f>IF($D74&lt;&gt;"",VLOOKUP($D74,選手登録!$N$8:$P$57,3,FALSE),"")</f>
        <v/>
      </c>
      <c r="S74" s="212" t="str">
        <f>IF($R74&lt;&gt;"",VLOOKUP($R74,選手登録!$M$8:$V$57,6,FALSE),"")</f>
        <v/>
      </c>
      <c r="T74" s="212" t="str">
        <f>IF($R74&lt;&gt;"",VLOOKUP($R74,選手登録!$M$8:$V$57,7,FALSE),"")</f>
        <v/>
      </c>
      <c r="U74" s="212" t="str">
        <f>IF($R74&lt;&gt;"",IF(VLOOKUP($R74,選手登録!$M$8:$U$57,9,FALSE)&lt;&gt;"",1,0),"")</f>
        <v/>
      </c>
      <c r="V74" s="212" t="str">
        <f>IF($E74&lt;&gt;"",VLOOKUP($E74,馬匹登録!$L$8:$N$57,3,FALSE),"")</f>
        <v/>
      </c>
      <c r="W74" s="212" t="str">
        <f>IF($V74&lt;&gt;"",IF(VLOOKUP($V74,馬匹登録!$N$8:$O$57,2,FALSE)&lt;&gt;"",1,0),"")</f>
        <v/>
      </c>
      <c r="X74" s="212" t="str">
        <f>IF($V74&lt;&gt;"",IF(VLOOKUP($V74,馬匹登録!$N$8:$Q$57,3,FALSE)&lt;&gt;"",1,0),"")</f>
        <v/>
      </c>
      <c r="Y74" s="212" t="str">
        <f>IF($V74&lt;&gt;"",IF(VLOOKUP($V74,馬匹登録!$N$8:$Q$57,4,FALSE)&lt;&gt;"",1,0),"")</f>
        <v/>
      </c>
      <c r="Z74" s="212" t="str">
        <f>IF($G74&lt;&gt;"",VLOOKUP($G74,リスト!$J$2:$K$5,2,FALSE),"")</f>
        <v/>
      </c>
      <c r="AA74" s="212" t="str">
        <f>IF($E74&lt;&gt;"",IFERROR(VLOOKUP($N74,マスタ!$H$4:$R$51,7+VLOOKUP($G74,リスト!$J$2:$K$5,2,FALSE),FALSE),"-"),"")</f>
        <v/>
      </c>
      <c r="AB74" s="212" t="str">
        <f t="shared" si="33"/>
        <v/>
      </c>
      <c r="AC74" s="212">
        <f>IF($AC$6=1,IFERROR(IF(AND($N74&lt;&gt;"",$R74&lt;&gt;""),IF(VLOOKUP($N74,マスタ!$T$4:$AC$51,4+$S74,FALSE)=0,1,0),0),1),0)</f>
        <v>0</v>
      </c>
      <c r="AD74" s="212">
        <f t="shared" si="34"/>
        <v>0</v>
      </c>
      <c r="AE74" s="212">
        <f>IF($AE$6=1,IFERROR(IF($G74="社馬連",IF(IFERROR(VLOOKUP($F74,リスト!$F$10:$H$51,2,FALSE),2)&lt;&gt;0,1,0),0),1),0)</f>
        <v>0</v>
      </c>
      <c r="AF74" s="212">
        <f t="shared" si="35"/>
        <v>0</v>
      </c>
      <c r="AG74" s="212">
        <f t="shared" si="36"/>
        <v>0</v>
      </c>
      <c r="AH74" s="212">
        <f t="shared" si="37"/>
        <v>0</v>
      </c>
      <c r="AI74" s="212">
        <f t="shared" si="38"/>
        <v>0</v>
      </c>
      <c r="AJ74" s="212">
        <f t="shared" si="39"/>
        <v>0</v>
      </c>
      <c r="AK74" s="212" t="str">
        <f t="shared" si="40"/>
        <v/>
      </c>
      <c r="AL74" s="212">
        <f t="shared" si="41"/>
        <v>0</v>
      </c>
      <c r="AM74" s="212" t="str">
        <f>IFERROR(VLOOKUP($N74,マスタ!$T$4:$AE$51,12,TRUE),"")</f>
        <v/>
      </c>
      <c r="AO74" s="212" t="str">
        <f t="shared" ca="1" si="42"/>
        <v/>
      </c>
      <c r="AP74" s="212" t="str">
        <f t="shared" ca="1" si="43"/>
        <v/>
      </c>
      <c r="AQ74" s="212" t="str">
        <f t="shared" ca="1" si="44"/>
        <v/>
      </c>
      <c r="AR74" s="212" t="str">
        <f t="shared" ca="1" si="28"/>
        <v/>
      </c>
      <c r="AS74" s="212" t="str">
        <f t="shared" ca="1" si="45"/>
        <v/>
      </c>
      <c r="AT74" s="212" t="str">
        <f t="shared" ca="1" si="46"/>
        <v/>
      </c>
      <c r="AU74" s="212" t="str">
        <f t="shared" ca="1" si="47"/>
        <v/>
      </c>
      <c r="AV74" s="212" t="str">
        <f t="shared" ca="1" si="48"/>
        <v/>
      </c>
      <c r="AX74" s="212">
        <f t="shared" si="49"/>
        <v>0</v>
      </c>
      <c r="AY74" s="212">
        <f t="shared" ref="AY74:AY107" si="50">$M74</f>
        <v>67</v>
      </c>
      <c r="AZ74" s="212" t="str">
        <f t="shared" ref="AZ74:AZ107" ca="1" si="51">IF($BB74&lt;&gt;"",COUNTIF(INDIRECT($BA$3),"&lt;"&amp;BA74)+1,"")</f>
        <v/>
      </c>
      <c r="BA74" s="212" t="str">
        <f t="shared" si="29"/>
        <v/>
      </c>
      <c r="BB74" s="212" t="str">
        <f t="shared" ref="BB74:BB107" si="52">IFERROR(VLOOKUP(ROW($BB74)-ROW($BA$8)+1,$AX$8:$AY$107,2,FALSE),"")</f>
        <v/>
      </c>
      <c r="BC74" s="212" t="str">
        <f t="shared" ca="1" si="30"/>
        <v/>
      </c>
    </row>
    <row r="75" spans="1:55" ht="24" customHeight="1" x14ac:dyDescent="0.15">
      <c r="A75" s="234">
        <v>68</v>
      </c>
      <c r="B75" s="235" t="str">
        <f>IF($C75&lt;&gt;"",VLOOKUP($N75,マスタ!$H$4:$K$51,3,TRUE),"")</f>
        <v/>
      </c>
      <c r="C75" s="236"/>
      <c r="D75" s="236"/>
      <c r="E75" s="236"/>
      <c r="F75" s="237" t="str">
        <f>IF($R75&lt;&gt;"",IF(VLOOKUP($R75,選手登録!$A$8:$H$57,8,FALSE)&lt;&gt;"",VLOOKUP($R75,選手登録!$A$8:$H$57,8,FALSE),団体登録!$B$7),"")</f>
        <v/>
      </c>
      <c r="G75" s="238"/>
      <c r="H75" s="333" t="str">
        <f t="shared" si="31"/>
        <v/>
      </c>
      <c r="I75" s="239"/>
      <c r="J75" s="233" t="str">
        <f>IF($AC75&gt;0,リスト!$Y$22,IF($AD75=1,リスト!$Y$21,IF($AD75=2,リスト!$Y$23,IF($AE75&gt;0,リスト!$Y$18,IF($AF75&gt;0,リスト!$Y$19,IF($AG75&gt;0,リスト!$Y$20,IF($AH75&gt;0,リスト!$Y$24,IF($AI75&gt;0,リスト!$Y$25,IF($AJ75&gt;0,リスト!$Y$26,"")))))))))</f>
        <v/>
      </c>
      <c r="K75" s="211" t="s">
        <v>149</v>
      </c>
      <c r="M75" s="212">
        <f t="shared" si="32"/>
        <v>68</v>
      </c>
      <c r="N75" s="212" t="str">
        <f>IF($C75&lt;&gt;"",VLOOKUP($C75,マスタ!$L$4:$U$51,9,FALSE),"")</f>
        <v/>
      </c>
      <c r="O75" s="212" t="str">
        <f>IF($C75&lt;&gt;"",VLOOKUP($N75,マスタ!$H$4:$I$51,2,TRUE),"")</f>
        <v/>
      </c>
      <c r="P75" s="212" t="str">
        <f>IF($N75&lt;&gt;"",VLOOKUP($N75,マスタ!$T$4:$W$51,3,FALSE),"")</f>
        <v/>
      </c>
      <c r="Q75" s="212" t="str">
        <f>IF($N75&lt;&gt;"",VLOOKUP($N75,マスタ!$T$4:$W$51,4,FALSE),"")</f>
        <v/>
      </c>
      <c r="R75" s="212" t="str">
        <f>IF($D75&lt;&gt;"",VLOOKUP($D75,選手登録!$N$8:$P$57,3,FALSE),"")</f>
        <v/>
      </c>
      <c r="S75" s="212" t="str">
        <f>IF($R75&lt;&gt;"",VLOOKUP($R75,選手登録!$M$8:$V$57,6,FALSE),"")</f>
        <v/>
      </c>
      <c r="T75" s="212" t="str">
        <f>IF($R75&lt;&gt;"",VLOOKUP($R75,選手登録!$M$8:$V$57,7,FALSE),"")</f>
        <v/>
      </c>
      <c r="U75" s="212" t="str">
        <f>IF($R75&lt;&gt;"",IF(VLOOKUP($R75,選手登録!$M$8:$U$57,9,FALSE)&lt;&gt;"",1,0),"")</f>
        <v/>
      </c>
      <c r="V75" s="212" t="str">
        <f>IF($E75&lt;&gt;"",VLOOKUP($E75,馬匹登録!$L$8:$N$57,3,FALSE),"")</f>
        <v/>
      </c>
      <c r="W75" s="212" t="str">
        <f>IF($V75&lt;&gt;"",IF(VLOOKUP($V75,馬匹登録!$N$8:$O$57,2,FALSE)&lt;&gt;"",1,0),"")</f>
        <v/>
      </c>
      <c r="X75" s="212" t="str">
        <f>IF($V75&lt;&gt;"",IF(VLOOKUP($V75,馬匹登録!$N$8:$Q$57,3,FALSE)&lt;&gt;"",1,0),"")</f>
        <v/>
      </c>
      <c r="Y75" s="212" t="str">
        <f>IF($V75&lt;&gt;"",IF(VLOOKUP($V75,馬匹登録!$N$8:$Q$57,4,FALSE)&lt;&gt;"",1,0),"")</f>
        <v/>
      </c>
      <c r="Z75" s="212" t="str">
        <f>IF($G75&lt;&gt;"",VLOOKUP($G75,リスト!$J$2:$K$5,2,FALSE),"")</f>
        <v/>
      </c>
      <c r="AA75" s="212" t="str">
        <f>IF($E75&lt;&gt;"",IFERROR(VLOOKUP($N75,マスタ!$H$4:$R$51,7+VLOOKUP($G75,リスト!$J$2:$K$5,2,FALSE),FALSE),"-"),"")</f>
        <v/>
      </c>
      <c r="AB75" s="212" t="str">
        <f t="shared" si="33"/>
        <v/>
      </c>
      <c r="AC75" s="212">
        <f>IF($AC$6=1,IFERROR(IF(AND($N75&lt;&gt;"",$R75&lt;&gt;""),IF(VLOOKUP($N75,マスタ!$T$4:$AC$51,4+$S75,FALSE)=0,1,0),0),1),0)</f>
        <v>0</v>
      </c>
      <c r="AD75" s="212">
        <f t="shared" si="34"/>
        <v>0</v>
      </c>
      <c r="AE75" s="212">
        <f>IF($AE$6=1,IFERROR(IF($G75="社馬連",IF(IFERROR(VLOOKUP($F75,リスト!$F$10:$H$51,2,FALSE),2)&lt;&gt;0,1,0),0),1),0)</f>
        <v>0</v>
      </c>
      <c r="AF75" s="212">
        <f t="shared" si="35"/>
        <v>0</v>
      </c>
      <c r="AG75" s="212">
        <f t="shared" si="36"/>
        <v>0</v>
      </c>
      <c r="AH75" s="212">
        <f t="shared" si="37"/>
        <v>0</v>
      </c>
      <c r="AI75" s="212">
        <f t="shared" si="38"/>
        <v>0</v>
      </c>
      <c r="AJ75" s="212">
        <f t="shared" si="39"/>
        <v>0</v>
      </c>
      <c r="AK75" s="212" t="str">
        <f t="shared" si="40"/>
        <v/>
      </c>
      <c r="AL75" s="212">
        <f t="shared" si="41"/>
        <v>0</v>
      </c>
      <c r="AM75" s="212" t="str">
        <f>IFERROR(VLOOKUP($N75,マスタ!$T$4:$AE$51,12,TRUE),"")</f>
        <v/>
      </c>
      <c r="AO75" s="212" t="str">
        <f t="shared" ca="1" si="42"/>
        <v/>
      </c>
      <c r="AP75" s="212" t="str">
        <f t="shared" ca="1" si="43"/>
        <v/>
      </c>
      <c r="AQ75" s="212" t="str">
        <f t="shared" ca="1" si="44"/>
        <v/>
      </c>
      <c r="AR75" s="212" t="str">
        <f t="shared" ca="1" si="28"/>
        <v/>
      </c>
      <c r="AS75" s="212" t="str">
        <f t="shared" ca="1" si="45"/>
        <v/>
      </c>
      <c r="AT75" s="212" t="str">
        <f t="shared" ca="1" si="46"/>
        <v/>
      </c>
      <c r="AU75" s="212" t="str">
        <f t="shared" ca="1" si="47"/>
        <v/>
      </c>
      <c r="AV75" s="212" t="str">
        <f t="shared" ca="1" si="48"/>
        <v/>
      </c>
      <c r="AX75" s="212">
        <f t="shared" si="49"/>
        <v>0</v>
      </c>
      <c r="AY75" s="212">
        <f t="shared" si="50"/>
        <v>68</v>
      </c>
      <c r="AZ75" s="212" t="str">
        <f t="shared" ca="1" si="51"/>
        <v/>
      </c>
      <c r="BA75" s="212" t="str">
        <f t="shared" si="29"/>
        <v/>
      </c>
      <c r="BB75" s="212" t="str">
        <f t="shared" si="52"/>
        <v/>
      </c>
      <c r="BC75" s="212" t="str">
        <f t="shared" ca="1" si="30"/>
        <v/>
      </c>
    </row>
    <row r="76" spans="1:55" ht="24" customHeight="1" x14ac:dyDescent="0.15">
      <c r="A76" s="234">
        <v>69</v>
      </c>
      <c r="B76" s="235" t="str">
        <f>IF($C76&lt;&gt;"",VLOOKUP($N76,マスタ!$H$4:$K$51,3,TRUE),"")</f>
        <v/>
      </c>
      <c r="C76" s="236"/>
      <c r="D76" s="236"/>
      <c r="E76" s="236"/>
      <c r="F76" s="237" t="str">
        <f>IF($R76&lt;&gt;"",IF(VLOOKUP($R76,選手登録!$A$8:$H$57,8,FALSE)&lt;&gt;"",VLOOKUP($R76,選手登録!$A$8:$H$57,8,FALSE),団体登録!$B$7),"")</f>
        <v/>
      </c>
      <c r="G76" s="238"/>
      <c r="H76" s="333" t="str">
        <f t="shared" si="31"/>
        <v/>
      </c>
      <c r="I76" s="239"/>
      <c r="J76" s="233" t="str">
        <f>IF($AC76&gt;0,リスト!$Y$22,IF($AD76=1,リスト!$Y$21,IF($AD76=2,リスト!$Y$23,IF($AE76&gt;0,リスト!$Y$18,IF($AF76&gt;0,リスト!$Y$19,IF($AG76&gt;0,リスト!$Y$20,IF($AH76&gt;0,リスト!$Y$24,IF($AI76&gt;0,リスト!$Y$25,IF($AJ76&gt;0,リスト!$Y$26,"")))))))))</f>
        <v/>
      </c>
      <c r="K76" s="211" t="s">
        <v>149</v>
      </c>
      <c r="M76" s="212">
        <f t="shared" si="32"/>
        <v>69</v>
      </c>
      <c r="N76" s="212" t="str">
        <f>IF($C76&lt;&gt;"",VLOOKUP($C76,マスタ!$L$4:$U$51,9,FALSE),"")</f>
        <v/>
      </c>
      <c r="O76" s="212" t="str">
        <f>IF($C76&lt;&gt;"",VLOOKUP($N76,マスタ!$H$4:$I$51,2,TRUE),"")</f>
        <v/>
      </c>
      <c r="P76" s="212" t="str">
        <f>IF($N76&lt;&gt;"",VLOOKUP($N76,マスタ!$T$4:$W$51,3,FALSE),"")</f>
        <v/>
      </c>
      <c r="Q76" s="212" t="str">
        <f>IF($N76&lt;&gt;"",VLOOKUP($N76,マスタ!$T$4:$W$51,4,FALSE),"")</f>
        <v/>
      </c>
      <c r="R76" s="212" t="str">
        <f>IF($D76&lt;&gt;"",VLOOKUP($D76,選手登録!$N$8:$P$57,3,FALSE),"")</f>
        <v/>
      </c>
      <c r="S76" s="212" t="str">
        <f>IF($R76&lt;&gt;"",VLOOKUP($R76,選手登録!$M$8:$V$57,6,FALSE),"")</f>
        <v/>
      </c>
      <c r="T76" s="212" t="str">
        <f>IF($R76&lt;&gt;"",VLOOKUP($R76,選手登録!$M$8:$V$57,7,FALSE),"")</f>
        <v/>
      </c>
      <c r="U76" s="212" t="str">
        <f>IF($R76&lt;&gt;"",IF(VLOOKUP($R76,選手登録!$M$8:$U$57,9,FALSE)&lt;&gt;"",1,0),"")</f>
        <v/>
      </c>
      <c r="V76" s="212" t="str">
        <f>IF($E76&lt;&gt;"",VLOOKUP($E76,馬匹登録!$L$8:$N$57,3,FALSE),"")</f>
        <v/>
      </c>
      <c r="W76" s="212" t="str">
        <f>IF($V76&lt;&gt;"",IF(VLOOKUP($V76,馬匹登録!$N$8:$O$57,2,FALSE)&lt;&gt;"",1,0),"")</f>
        <v/>
      </c>
      <c r="X76" s="212" t="str">
        <f>IF($V76&lt;&gt;"",IF(VLOOKUP($V76,馬匹登録!$N$8:$Q$57,3,FALSE)&lt;&gt;"",1,0),"")</f>
        <v/>
      </c>
      <c r="Y76" s="212" t="str">
        <f>IF($V76&lt;&gt;"",IF(VLOOKUP($V76,馬匹登録!$N$8:$Q$57,4,FALSE)&lt;&gt;"",1,0),"")</f>
        <v/>
      </c>
      <c r="Z76" s="212" t="str">
        <f>IF($G76&lt;&gt;"",VLOOKUP($G76,リスト!$J$2:$K$5,2,FALSE),"")</f>
        <v/>
      </c>
      <c r="AA76" s="212" t="str">
        <f>IF($E76&lt;&gt;"",IFERROR(VLOOKUP($N76,マスタ!$H$4:$R$51,7+VLOOKUP($G76,リスト!$J$2:$K$5,2,FALSE),FALSE),"-"),"")</f>
        <v/>
      </c>
      <c r="AB76" s="212" t="str">
        <f t="shared" si="33"/>
        <v/>
      </c>
      <c r="AC76" s="212">
        <f>IF($AC$6=1,IFERROR(IF(AND($N76&lt;&gt;"",$R76&lt;&gt;""),IF(VLOOKUP($N76,マスタ!$T$4:$AC$51,4+$S76,FALSE)=0,1,0),0),1),0)</f>
        <v>0</v>
      </c>
      <c r="AD76" s="212">
        <f t="shared" si="34"/>
        <v>0</v>
      </c>
      <c r="AE76" s="212">
        <f>IF($AE$6=1,IFERROR(IF($G76="社馬連",IF(IFERROR(VLOOKUP($F76,リスト!$F$10:$H$51,2,FALSE),2)&lt;&gt;0,1,0),0),1),0)</f>
        <v>0</v>
      </c>
      <c r="AF76" s="212">
        <f t="shared" si="35"/>
        <v>0</v>
      </c>
      <c r="AG76" s="212">
        <f t="shared" si="36"/>
        <v>0</v>
      </c>
      <c r="AH76" s="212">
        <f t="shared" si="37"/>
        <v>0</v>
      </c>
      <c r="AI76" s="212">
        <f t="shared" si="38"/>
        <v>0</v>
      </c>
      <c r="AJ76" s="212">
        <f t="shared" si="39"/>
        <v>0</v>
      </c>
      <c r="AK76" s="212" t="str">
        <f t="shared" si="40"/>
        <v/>
      </c>
      <c r="AL76" s="212">
        <f t="shared" si="41"/>
        <v>0</v>
      </c>
      <c r="AM76" s="212" t="str">
        <f>IFERROR(VLOOKUP($N76,マスタ!$T$4:$AE$51,12,TRUE),"")</f>
        <v/>
      </c>
      <c r="AO76" s="212" t="str">
        <f t="shared" ca="1" si="42"/>
        <v/>
      </c>
      <c r="AP76" s="212" t="str">
        <f t="shared" ca="1" si="43"/>
        <v/>
      </c>
      <c r="AQ76" s="212" t="str">
        <f t="shared" ca="1" si="44"/>
        <v/>
      </c>
      <c r="AR76" s="212" t="str">
        <f t="shared" ca="1" si="28"/>
        <v/>
      </c>
      <c r="AS76" s="212" t="str">
        <f t="shared" ca="1" si="45"/>
        <v/>
      </c>
      <c r="AT76" s="212" t="str">
        <f t="shared" ca="1" si="46"/>
        <v/>
      </c>
      <c r="AU76" s="212" t="str">
        <f t="shared" ca="1" si="47"/>
        <v/>
      </c>
      <c r="AV76" s="212" t="str">
        <f t="shared" ca="1" si="48"/>
        <v/>
      </c>
      <c r="AX76" s="212">
        <f t="shared" si="49"/>
        <v>0</v>
      </c>
      <c r="AY76" s="212">
        <f t="shared" si="50"/>
        <v>69</v>
      </c>
      <c r="AZ76" s="212" t="str">
        <f t="shared" ca="1" si="51"/>
        <v/>
      </c>
      <c r="BA76" s="212" t="str">
        <f t="shared" si="29"/>
        <v/>
      </c>
      <c r="BB76" s="212" t="str">
        <f t="shared" si="52"/>
        <v/>
      </c>
      <c r="BC76" s="212" t="str">
        <f t="shared" ca="1" si="30"/>
        <v/>
      </c>
    </row>
    <row r="77" spans="1:55" ht="24" customHeight="1" x14ac:dyDescent="0.15">
      <c r="A77" s="234">
        <v>70</v>
      </c>
      <c r="B77" s="235" t="str">
        <f>IF($C77&lt;&gt;"",VLOOKUP($N77,マスタ!$H$4:$K$51,3,TRUE),"")</f>
        <v/>
      </c>
      <c r="C77" s="236"/>
      <c r="D77" s="236"/>
      <c r="E77" s="236"/>
      <c r="F77" s="237" t="str">
        <f>IF($R77&lt;&gt;"",IF(VLOOKUP($R77,選手登録!$A$8:$H$57,8,FALSE)&lt;&gt;"",VLOOKUP($R77,選手登録!$A$8:$H$57,8,FALSE),団体登録!$B$7),"")</f>
        <v/>
      </c>
      <c r="G77" s="238"/>
      <c r="H77" s="333" t="str">
        <f t="shared" si="31"/>
        <v/>
      </c>
      <c r="I77" s="239"/>
      <c r="J77" s="233" t="str">
        <f>IF($AC77&gt;0,リスト!$Y$22,IF($AD77=1,リスト!$Y$21,IF($AD77=2,リスト!$Y$23,IF($AE77&gt;0,リスト!$Y$18,IF($AF77&gt;0,リスト!$Y$19,IF($AG77&gt;0,リスト!$Y$20,IF($AH77&gt;0,リスト!$Y$24,IF($AI77&gt;0,リスト!$Y$25,IF($AJ77&gt;0,リスト!$Y$26,"")))))))))</f>
        <v/>
      </c>
      <c r="K77" s="211" t="s">
        <v>149</v>
      </c>
      <c r="M77" s="212">
        <f t="shared" si="32"/>
        <v>70</v>
      </c>
      <c r="N77" s="212" t="str">
        <f>IF($C77&lt;&gt;"",VLOOKUP($C77,マスタ!$L$4:$U$51,9,FALSE),"")</f>
        <v/>
      </c>
      <c r="O77" s="212" t="str">
        <f>IF($C77&lt;&gt;"",VLOOKUP($N77,マスタ!$H$4:$I$51,2,TRUE),"")</f>
        <v/>
      </c>
      <c r="P77" s="212" t="str">
        <f>IF($N77&lt;&gt;"",VLOOKUP($N77,マスタ!$T$4:$W$51,3,FALSE),"")</f>
        <v/>
      </c>
      <c r="Q77" s="212" t="str">
        <f>IF($N77&lt;&gt;"",VLOOKUP($N77,マスタ!$T$4:$W$51,4,FALSE),"")</f>
        <v/>
      </c>
      <c r="R77" s="212" t="str">
        <f>IF($D77&lt;&gt;"",VLOOKUP($D77,選手登録!$N$8:$P$57,3,FALSE),"")</f>
        <v/>
      </c>
      <c r="S77" s="212" t="str">
        <f>IF($R77&lt;&gt;"",VLOOKUP($R77,選手登録!$M$8:$V$57,6,FALSE),"")</f>
        <v/>
      </c>
      <c r="T77" s="212" t="str">
        <f>IF($R77&lt;&gt;"",VLOOKUP($R77,選手登録!$M$8:$V$57,7,FALSE),"")</f>
        <v/>
      </c>
      <c r="U77" s="212" t="str">
        <f>IF($R77&lt;&gt;"",IF(VLOOKUP($R77,選手登録!$M$8:$U$57,9,FALSE)&lt;&gt;"",1,0),"")</f>
        <v/>
      </c>
      <c r="V77" s="212" t="str">
        <f>IF($E77&lt;&gt;"",VLOOKUP($E77,馬匹登録!$L$8:$N$57,3,FALSE),"")</f>
        <v/>
      </c>
      <c r="W77" s="212" t="str">
        <f>IF($V77&lt;&gt;"",IF(VLOOKUP($V77,馬匹登録!$N$8:$O$57,2,FALSE)&lt;&gt;"",1,0),"")</f>
        <v/>
      </c>
      <c r="X77" s="212" t="str">
        <f>IF($V77&lt;&gt;"",IF(VLOOKUP($V77,馬匹登録!$N$8:$Q$57,3,FALSE)&lt;&gt;"",1,0),"")</f>
        <v/>
      </c>
      <c r="Y77" s="212" t="str">
        <f>IF($V77&lt;&gt;"",IF(VLOOKUP($V77,馬匹登録!$N$8:$Q$57,4,FALSE)&lt;&gt;"",1,0),"")</f>
        <v/>
      </c>
      <c r="Z77" s="212" t="str">
        <f>IF($G77&lt;&gt;"",VLOOKUP($G77,リスト!$J$2:$K$5,2,FALSE),"")</f>
        <v/>
      </c>
      <c r="AA77" s="212" t="str">
        <f>IF($E77&lt;&gt;"",IFERROR(VLOOKUP($N77,マスタ!$H$4:$R$51,7+VLOOKUP($G77,リスト!$J$2:$K$5,2,FALSE),FALSE),"-"),"")</f>
        <v/>
      </c>
      <c r="AB77" s="212" t="str">
        <f t="shared" si="33"/>
        <v/>
      </c>
      <c r="AC77" s="212">
        <f>IF($AC$6=1,IFERROR(IF(AND($N77&lt;&gt;"",$R77&lt;&gt;""),IF(VLOOKUP($N77,マスタ!$T$4:$AC$51,4+$S77,FALSE)=0,1,0),0),1),0)</f>
        <v>0</v>
      </c>
      <c r="AD77" s="212">
        <f t="shared" si="34"/>
        <v>0</v>
      </c>
      <c r="AE77" s="212">
        <f>IF($AE$6=1,IFERROR(IF($G77="社馬連",IF(IFERROR(VLOOKUP($F77,リスト!$F$10:$H$51,2,FALSE),2)&lt;&gt;0,1,0),0),1),0)</f>
        <v>0</v>
      </c>
      <c r="AF77" s="212">
        <f t="shared" si="35"/>
        <v>0</v>
      </c>
      <c r="AG77" s="212">
        <f t="shared" si="36"/>
        <v>0</v>
      </c>
      <c r="AH77" s="212">
        <f t="shared" si="37"/>
        <v>0</v>
      </c>
      <c r="AI77" s="212">
        <f t="shared" si="38"/>
        <v>0</v>
      </c>
      <c r="AJ77" s="212">
        <f t="shared" si="39"/>
        <v>0</v>
      </c>
      <c r="AK77" s="212" t="str">
        <f t="shared" si="40"/>
        <v/>
      </c>
      <c r="AL77" s="212">
        <f t="shared" si="41"/>
        <v>0</v>
      </c>
      <c r="AM77" s="212" t="str">
        <f>IFERROR(VLOOKUP($N77,マスタ!$T$4:$AE$51,12,TRUE),"")</f>
        <v/>
      </c>
      <c r="AO77" s="212" t="str">
        <f t="shared" ca="1" si="42"/>
        <v/>
      </c>
      <c r="AP77" s="212" t="str">
        <f t="shared" ca="1" si="43"/>
        <v/>
      </c>
      <c r="AQ77" s="212" t="str">
        <f t="shared" ca="1" si="44"/>
        <v/>
      </c>
      <c r="AR77" s="212" t="str">
        <f t="shared" ca="1" si="28"/>
        <v/>
      </c>
      <c r="AS77" s="212" t="str">
        <f t="shared" ca="1" si="45"/>
        <v/>
      </c>
      <c r="AT77" s="212" t="str">
        <f t="shared" ca="1" si="46"/>
        <v/>
      </c>
      <c r="AU77" s="212" t="str">
        <f t="shared" ca="1" si="47"/>
        <v/>
      </c>
      <c r="AV77" s="212" t="str">
        <f t="shared" ca="1" si="48"/>
        <v/>
      </c>
      <c r="AX77" s="212">
        <f t="shared" si="49"/>
        <v>0</v>
      </c>
      <c r="AY77" s="212">
        <f t="shared" si="50"/>
        <v>70</v>
      </c>
      <c r="AZ77" s="212" t="str">
        <f t="shared" ca="1" si="51"/>
        <v/>
      </c>
      <c r="BA77" s="212" t="str">
        <f t="shared" si="29"/>
        <v/>
      </c>
      <c r="BB77" s="212" t="str">
        <f t="shared" si="52"/>
        <v/>
      </c>
      <c r="BC77" s="212" t="str">
        <f t="shared" ca="1" si="30"/>
        <v/>
      </c>
    </row>
    <row r="78" spans="1:55" ht="24" customHeight="1" x14ac:dyDescent="0.15">
      <c r="A78" s="234">
        <v>71</v>
      </c>
      <c r="B78" s="235" t="str">
        <f>IF($C78&lt;&gt;"",VLOOKUP($N78,マスタ!$H$4:$K$51,3,TRUE),"")</f>
        <v/>
      </c>
      <c r="C78" s="236"/>
      <c r="D78" s="236"/>
      <c r="E78" s="236"/>
      <c r="F78" s="237" t="str">
        <f>IF($R78&lt;&gt;"",IF(VLOOKUP($R78,選手登録!$A$8:$H$57,8,FALSE)&lt;&gt;"",VLOOKUP($R78,選手登録!$A$8:$H$57,8,FALSE),団体登録!$B$7),"")</f>
        <v/>
      </c>
      <c r="G78" s="238"/>
      <c r="H78" s="333" t="str">
        <f t="shared" si="31"/>
        <v/>
      </c>
      <c r="I78" s="239"/>
      <c r="J78" s="233" t="str">
        <f>IF($AC78&gt;0,リスト!$Y$22,IF($AD78=1,リスト!$Y$21,IF($AD78=2,リスト!$Y$23,IF($AE78&gt;0,リスト!$Y$18,IF($AF78&gt;0,リスト!$Y$19,IF($AG78&gt;0,リスト!$Y$20,IF($AH78&gt;0,リスト!$Y$24,IF($AI78&gt;0,リスト!$Y$25,IF($AJ78&gt;0,リスト!$Y$26,"")))))))))</f>
        <v/>
      </c>
      <c r="K78" s="211" t="s">
        <v>149</v>
      </c>
      <c r="M78" s="212">
        <f t="shared" si="32"/>
        <v>71</v>
      </c>
      <c r="N78" s="212" t="str">
        <f>IF($C78&lt;&gt;"",VLOOKUP($C78,マスタ!$L$4:$U$51,9,FALSE),"")</f>
        <v/>
      </c>
      <c r="O78" s="212" t="str">
        <f>IF($C78&lt;&gt;"",VLOOKUP($N78,マスタ!$H$4:$I$51,2,TRUE),"")</f>
        <v/>
      </c>
      <c r="P78" s="212" t="str">
        <f>IF($N78&lt;&gt;"",VLOOKUP($N78,マスタ!$T$4:$W$51,3,FALSE),"")</f>
        <v/>
      </c>
      <c r="Q78" s="212" t="str">
        <f>IF($N78&lt;&gt;"",VLOOKUP($N78,マスタ!$T$4:$W$51,4,FALSE),"")</f>
        <v/>
      </c>
      <c r="R78" s="212" t="str">
        <f>IF($D78&lt;&gt;"",VLOOKUP($D78,選手登録!$N$8:$P$57,3,FALSE),"")</f>
        <v/>
      </c>
      <c r="S78" s="212" t="str">
        <f>IF($R78&lt;&gt;"",VLOOKUP($R78,選手登録!$M$8:$V$57,6,FALSE),"")</f>
        <v/>
      </c>
      <c r="T78" s="212" t="str">
        <f>IF($R78&lt;&gt;"",VLOOKUP($R78,選手登録!$M$8:$V$57,7,FALSE),"")</f>
        <v/>
      </c>
      <c r="U78" s="212" t="str">
        <f>IF($R78&lt;&gt;"",IF(VLOOKUP($R78,選手登録!$M$8:$U$57,9,FALSE)&lt;&gt;"",1,0),"")</f>
        <v/>
      </c>
      <c r="V78" s="212" t="str">
        <f>IF($E78&lt;&gt;"",VLOOKUP($E78,馬匹登録!$L$8:$N$57,3,FALSE),"")</f>
        <v/>
      </c>
      <c r="W78" s="212" t="str">
        <f>IF($V78&lt;&gt;"",IF(VLOOKUP($V78,馬匹登録!$N$8:$O$57,2,FALSE)&lt;&gt;"",1,0),"")</f>
        <v/>
      </c>
      <c r="X78" s="212" t="str">
        <f>IF($V78&lt;&gt;"",IF(VLOOKUP($V78,馬匹登録!$N$8:$Q$57,3,FALSE)&lt;&gt;"",1,0),"")</f>
        <v/>
      </c>
      <c r="Y78" s="212" t="str">
        <f>IF($V78&lt;&gt;"",IF(VLOOKUP($V78,馬匹登録!$N$8:$Q$57,4,FALSE)&lt;&gt;"",1,0),"")</f>
        <v/>
      </c>
      <c r="Z78" s="212" t="str">
        <f>IF($G78&lt;&gt;"",VLOOKUP($G78,リスト!$J$2:$K$5,2,FALSE),"")</f>
        <v/>
      </c>
      <c r="AA78" s="212" t="str">
        <f>IF($E78&lt;&gt;"",IFERROR(VLOOKUP($N78,マスタ!$H$4:$R$51,7+VLOOKUP($G78,リスト!$J$2:$K$5,2,FALSE),FALSE),"-"),"")</f>
        <v/>
      </c>
      <c r="AB78" s="212" t="str">
        <f t="shared" si="33"/>
        <v/>
      </c>
      <c r="AC78" s="212">
        <f>IF($AC$6=1,IFERROR(IF(AND($N78&lt;&gt;"",$R78&lt;&gt;""),IF(VLOOKUP($N78,マスタ!$T$4:$AC$51,4+$S78,FALSE)=0,1,0),0),1),0)</f>
        <v>0</v>
      </c>
      <c r="AD78" s="212">
        <f t="shared" si="34"/>
        <v>0</v>
      </c>
      <c r="AE78" s="212">
        <f>IF($AE$6=1,IFERROR(IF($G78="社馬連",IF(IFERROR(VLOOKUP($F78,リスト!$F$10:$H$51,2,FALSE),2)&lt;&gt;0,1,0),0),1),0)</f>
        <v>0</v>
      </c>
      <c r="AF78" s="212">
        <f t="shared" si="35"/>
        <v>0</v>
      </c>
      <c r="AG78" s="212">
        <f t="shared" si="36"/>
        <v>0</v>
      </c>
      <c r="AH78" s="212">
        <f t="shared" si="37"/>
        <v>0</v>
      </c>
      <c r="AI78" s="212">
        <f t="shared" si="38"/>
        <v>0</v>
      </c>
      <c r="AJ78" s="212">
        <f t="shared" si="39"/>
        <v>0</v>
      </c>
      <c r="AK78" s="212" t="str">
        <f t="shared" si="40"/>
        <v/>
      </c>
      <c r="AL78" s="212">
        <f t="shared" si="41"/>
        <v>0</v>
      </c>
      <c r="AM78" s="212" t="str">
        <f>IFERROR(VLOOKUP($N78,マスタ!$T$4:$AE$51,12,TRUE),"")</f>
        <v/>
      </c>
      <c r="AO78" s="212" t="str">
        <f t="shared" ca="1" si="42"/>
        <v/>
      </c>
      <c r="AP78" s="212" t="str">
        <f t="shared" ca="1" si="43"/>
        <v/>
      </c>
      <c r="AQ78" s="212" t="str">
        <f t="shared" ca="1" si="44"/>
        <v/>
      </c>
      <c r="AR78" s="212" t="str">
        <f t="shared" ca="1" si="28"/>
        <v/>
      </c>
      <c r="AS78" s="212" t="str">
        <f t="shared" ca="1" si="45"/>
        <v/>
      </c>
      <c r="AT78" s="212" t="str">
        <f t="shared" ca="1" si="46"/>
        <v/>
      </c>
      <c r="AU78" s="212" t="str">
        <f t="shared" ca="1" si="47"/>
        <v/>
      </c>
      <c r="AV78" s="212" t="str">
        <f t="shared" ca="1" si="48"/>
        <v/>
      </c>
      <c r="AX78" s="212">
        <f t="shared" si="49"/>
        <v>0</v>
      </c>
      <c r="AY78" s="212">
        <f t="shared" si="50"/>
        <v>71</v>
      </c>
      <c r="AZ78" s="212" t="str">
        <f t="shared" ca="1" si="51"/>
        <v/>
      </c>
      <c r="BA78" s="212" t="str">
        <f t="shared" si="29"/>
        <v/>
      </c>
      <c r="BB78" s="212" t="str">
        <f t="shared" si="52"/>
        <v/>
      </c>
      <c r="BC78" s="212" t="str">
        <f t="shared" ca="1" si="30"/>
        <v/>
      </c>
    </row>
    <row r="79" spans="1:55" ht="24" customHeight="1" x14ac:dyDescent="0.15">
      <c r="A79" s="234">
        <v>72</v>
      </c>
      <c r="B79" s="235" t="str">
        <f>IF($C79&lt;&gt;"",VLOOKUP($N79,マスタ!$H$4:$K$51,3,TRUE),"")</f>
        <v/>
      </c>
      <c r="C79" s="236"/>
      <c r="D79" s="236"/>
      <c r="E79" s="236"/>
      <c r="F79" s="237" t="str">
        <f>IF($R79&lt;&gt;"",IF(VLOOKUP($R79,選手登録!$A$8:$H$57,8,FALSE)&lt;&gt;"",VLOOKUP($R79,選手登録!$A$8:$H$57,8,FALSE),団体登録!$B$7),"")</f>
        <v/>
      </c>
      <c r="G79" s="238"/>
      <c r="H79" s="333" t="str">
        <f t="shared" si="31"/>
        <v/>
      </c>
      <c r="I79" s="239"/>
      <c r="J79" s="233" t="str">
        <f>IF($AC79&gt;0,リスト!$Y$22,IF($AD79=1,リスト!$Y$21,IF($AD79=2,リスト!$Y$23,IF($AE79&gt;0,リスト!$Y$18,IF($AF79&gt;0,リスト!$Y$19,IF($AG79&gt;0,リスト!$Y$20,IF($AH79&gt;0,リスト!$Y$24,IF($AI79&gt;0,リスト!$Y$25,IF($AJ79&gt;0,リスト!$Y$26,"")))))))))</f>
        <v/>
      </c>
      <c r="K79" s="211" t="s">
        <v>149</v>
      </c>
      <c r="M79" s="212">
        <f t="shared" si="32"/>
        <v>72</v>
      </c>
      <c r="N79" s="212" t="str">
        <f>IF($C79&lt;&gt;"",VLOOKUP($C79,マスタ!$L$4:$U$51,9,FALSE),"")</f>
        <v/>
      </c>
      <c r="O79" s="212" t="str">
        <f>IF($C79&lt;&gt;"",VLOOKUP($N79,マスタ!$H$4:$I$51,2,TRUE),"")</f>
        <v/>
      </c>
      <c r="P79" s="212" t="str">
        <f>IF($N79&lt;&gt;"",VLOOKUP($N79,マスタ!$T$4:$W$51,3,FALSE),"")</f>
        <v/>
      </c>
      <c r="Q79" s="212" t="str">
        <f>IF($N79&lt;&gt;"",VLOOKUP($N79,マスタ!$T$4:$W$51,4,FALSE),"")</f>
        <v/>
      </c>
      <c r="R79" s="212" t="str">
        <f>IF($D79&lt;&gt;"",VLOOKUP($D79,選手登録!$N$8:$P$57,3,FALSE),"")</f>
        <v/>
      </c>
      <c r="S79" s="212" t="str">
        <f>IF($R79&lt;&gt;"",VLOOKUP($R79,選手登録!$M$8:$V$57,6,FALSE),"")</f>
        <v/>
      </c>
      <c r="T79" s="212" t="str">
        <f>IF($R79&lt;&gt;"",VLOOKUP($R79,選手登録!$M$8:$V$57,7,FALSE),"")</f>
        <v/>
      </c>
      <c r="U79" s="212" t="str">
        <f>IF($R79&lt;&gt;"",IF(VLOOKUP($R79,選手登録!$M$8:$U$57,9,FALSE)&lt;&gt;"",1,0),"")</f>
        <v/>
      </c>
      <c r="V79" s="212" t="str">
        <f>IF($E79&lt;&gt;"",VLOOKUP($E79,馬匹登録!$L$8:$N$57,3,FALSE),"")</f>
        <v/>
      </c>
      <c r="W79" s="212" t="str">
        <f>IF($V79&lt;&gt;"",IF(VLOOKUP($V79,馬匹登録!$N$8:$O$57,2,FALSE)&lt;&gt;"",1,0),"")</f>
        <v/>
      </c>
      <c r="X79" s="212" t="str">
        <f>IF($V79&lt;&gt;"",IF(VLOOKUP($V79,馬匹登録!$N$8:$Q$57,3,FALSE)&lt;&gt;"",1,0),"")</f>
        <v/>
      </c>
      <c r="Y79" s="212" t="str">
        <f>IF($V79&lt;&gt;"",IF(VLOOKUP($V79,馬匹登録!$N$8:$Q$57,4,FALSE)&lt;&gt;"",1,0),"")</f>
        <v/>
      </c>
      <c r="Z79" s="212" t="str">
        <f>IF($G79&lt;&gt;"",VLOOKUP($G79,リスト!$J$2:$K$5,2,FALSE),"")</f>
        <v/>
      </c>
      <c r="AA79" s="212" t="str">
        <f>IF($E79&lt;&gt;"",IFERROR(VLOOKUP($N79,マスタ!$H$4:$R$51,7+VLOOKUP($G79,リスト!$J$2:$K$5,2,FALSE),FALSE),"-"),"")</f>
        <v/>
      </c>
      <c r="AB79" s="212" t="str">
        <f t="shared" si="33"/>
        <v/>
      </c>
      <c r="AC79" s="212">
        <f>IF($AC$6=1,IFERROR(IF(AND($N79&lt;&gt;"",$R79&lt;&gt;""),IF(VLOOKUP($N79,マスタ!$T$4:$AC$51,4+$S79,FALSE)=0,1,0),0),1),0)</f>
        <v>0</v>
      </c>
      <c r="AD79" s="212">
        <f t="shared" si="34"/>
        <v>0</v>
      </c>
      <c r="AE79" s="212">
        <f>IF($AE$6=1,IFERROR(IF($G79="社馬連",IF(IFERROR(VLOOKUP($F79,リスト!$F$10:$H$51,2,FALSE),2)&lt;&gt;0,1,0),0),1),0)</f>
        <v>0</v>
      </c>
      <c r="AF79" s="212">
        <f t="shared" si="35"/>
        <v>0</v>
      </c>
      <c r="AG79" s="212">
        <f t="shared" si="36"/>
        <v>0</v>
      </c>
      <c r="AH79" s="212">
        <f t="shared" si="37"/>
        <v>0</v>
      </c>
      <c r="AI79" s="212">
        <f t="shared" si="38"/>
        <v>0</v>
      </c>
      <c r="AJ79" s="212">
        <f t="shared" si="39"/>
        <v>0</v>
      </c>
      <c r="AK79" s="212" t="str">
        <f t="shared" si="40"/>
        <v/>
      </c>
      <c r="AL79" s="212">
        <f t="shared" si="41"/>
        <v>0</v>
      </c>
      <c r="AM79" s="212" t="str">
        <f>IFERROR(VLOOKUP($N79,マスタ!$T$4:$AE$51,12,TRUE),"")</f>
        <v/>
      </c>
      <c r="AO79" s="212" t="str">
        <f t="shared" ca="1" si="42"/>
        <v/>
      </c>
      <c r="AP79" s="212" t="str">
        <f t="shared" ca="1" si="43"/>
        <v/>
      </c>
      <c r="AQ79" s="212" t="str">
        <f t="shared" ca="1" si="44"/>
        <v/>
      </c>
      <c r="AR79" s="212" t="str">
        <f t="shared" ca="1" si="28"/>
        <v/>
      </c>
      <c r="AS79" s="212" t="str">
        <f t="shared" ca="1" si="45"/>
        <v/>
      </c>
      <c r="AT79" s="212" t="str">
        <f t="shared" ca="1" si="46"/>
        <v/>
      </c>
      <c r="AU79" s="212" t="str">
        <f t="shared" ca="1" si="47"/>
        <v/>
      </c>
      <c r="AV79" s="212" t="str">
        <f t="shared" ca="1" si="48"/>
        <v/>
      </c>
      <c r="AX79" s="212">
        <f t="shared" si="49"/>
        <v>0</v>
      </c>
      <c r="AY79" s="212">
        <f t="shared" si="50"/>
        <v>72</v>
      </c>
      <c r="AZ79" s="212" t="str">
        <f t="shared" ca="1" si="51"/>
        <v/>
      </c>
      <c r="BA79" s="212" t="str">
        <f t="shared" si="29"/>
        <v/>
      </c>
      <c r="BB79" s="212" t="str">
        <f t="shared" si="52"/>
        <v/>
      </c>
      <c r="BC79" s="212" t="str">
        <f t="shared" ca="1" si="30"/>
        <v/>
      </c>
    </row>
    <row r="80" spans="1:55" ht="24" customHeight="1" x14ac:dyDescent="0.15">
      <c r="A80" s="234">
        <v>73</v>
      </c>
      <c r="B80" s="235" t="str">
        <f>IF($C80&lt;&gt;"",VLOOKUP($N80,マスタ!$H$4:$K$51,3,TRUE),"")</f>
        <v/>
      </c>
      <c r="C80" s="236"/>
      <c r="D80" s="236"/>
      <c r="E80" s="236"/>
      <c r="F80" s="237" t="str">
        <f>IF($R80&lt;&gt;"",IF(VLOOKUP($R80,選手登録!$A$8:$H$57,8,FALSE)&lt;&gt;"",VLOOKUP($R80,選手登録!$A$8:$H$57,8,FALSE),団体登録!$B$7),"")</f>
        <v/>
      </c>
      <c r="G80" s="238"/>
      <c r="H80" s="333" t="str">
        <f t="shared" si="31"/>
        <v/>
      </c>
      <c r="I80" s="239"/>
      <c r="J80" s="233" t="str">
        <f>IF($AC80&gt;0,リスト!$Y$22,IF($AD80=1,リスト!$Y$21,IF($AD80=2,リスト!$Y$23,IF($AE80&gt;0,リスト!$Y$18,IF($AF80&gt;0,リスト!$Y$19,IF($AG80&gt;0,リスト!$Y$20,IF($AH80&gt;0,リスト!$Y$24,IF($AI80&gt;0,リスト!$Y$25,IF($AJ80&gt;0,リスト!$Y$26,"")))))))))</f>
        <v/>
      </c>
      <c r="K80" s="211" t="s">
        <v>149</v>
      </c>
      <c r="M80" s="212">
        <f t="shared" si="32"/>
        <v>73</v>
      </c>
      <c r="N80" s="212" t="str">
        <f>IF($C80&lt;&gt;"",VLOOKUP($C80,マスタ!$L$4:$U$51,9,FALSE),"")</f>
        <v/>
      </c>
      <c r="O80" s="212" t="str">
        <f>IF($C80&lt;&gt;"",VLOOKUP($N80,マスタ!$H$4:$I$51,2,TRUE),"")</f>
        <v/>
      </c>
      <c r="P80" s="212" t="str">
        <f>IF($N80&lt;&gt;"",VLOOKUP($N80,マスタ!$T$4:$W$51,3,FALSE),"")</f>
        <v/>
      </c>
      <c r="Q80" s="212" t="str">
        <f>IF($N80&lt;&gt;"",VLOOKUP($N80,マスタ!$T$4:$W$51,4,FALSE),"")</f>
        <v/>
      </c>
      <c r="R80" s="212" t="str">
        <f>IF($D80&lt;&gt;"",VLOOKUP($D80,選手登録!$N$8:$P$57,3,FALSE),"")</f>
        <v/>
      </c>
      <c r="S80" s="212" t="str">
        <f>IF($R80&lt;&gt;"",VLOOKUP($R80,選手登録!$M$8:$V$57,6,FALSE),"")</f>
        <v/>
      </c>
      <c r="T80" s="212" t="str">
        <f>IF($R80&lt;&gt;"",VLOOKUP($R80,選手登録!$M$8:$V$57,7,FALSE),"")</f>
        <v/>
      </c>
      <c r="U80" s="212" t="str">
        <f>IF($R80&lt;&gt;"",IF(VLOOKUP($R80,選手登録!$M$8:$U$57,9,FALSE)&lt;&gt;"",1,0),"")</f>
        <v/>
      </c>
      <c r="V80" s="212" t="str">
        <f>IF($E80&lt;&gt;"",VLOOKUP($E80,馬匹登録!$L$8:$N$57,3,FALSE),"")</f>
        <v/>
      </c>
      <c r="W80" s="212" t="str">
        <f>IF($V80&lt;&gt;"",IF(VLOOKUP($V80,馬匹登録!$N$8:$O$57,2,FALSE)&lt;&gt;"",1,0),"")</f>
        <v/>
      </c>
      <c r="X80" s="212" t="str">
        <f>IF($V80&lt;&gt;"",IF(VLOOKUP($V80,馬匹登録!$N$8:$Q$57,3,FALSE)&lt;&gt;"",1,0),"")</f>
        <v/>
      </c>
      <c r="Y80" s="212" t="str">
        <f>IF($V80&lt;&gt;"",IF(VLOOKUP($V80,馬匹登録!$N$8:$Q$57,4,FALSE)&lt;&gt;"",1,0),"")</f>
        <v/>
      </c>
      <c r="Z80" s="212" t="str">
        <f>IF($G80&lt;&gt;"",VLOOKUP($G80,リスト!$J$2:$K$5,2,FALSE),"")</f>
        <v/>
      </c>
      <c r="AA80" s="212" t="str">
        <f>IF($E80&lt;&gt;"",IFERROR(VLOOKUP($N80,マスタ!$H$4:$R$51,7+VLOOKUP($G80,リスト!$J$2:$K$5,2,FALSE),FALSE),"-"),"")</f>
        <v/>
      </c>
      <c r="AB80" s="212" t="str">
        <f t="shared" si="33"/>
        <v/>
      </c>
      <c r="AC80" s="212">
        <f>IF($AC$6=1,IFERROR(IF(AND($N80&lt;&gt;"",$R80&lt;&gt;""),IF(VLOOKUP($N80,マスタ!$T$4:$AC$51,4+$S80,FALSE)=0,1,0),0),1),0)</f>
        <v>0</v>
      </c>
      <c r="AD80" s="212">
        <f t="shared" si="34"/>
        <v>0</v>
      </c>
      <c r="AE80" s="212">
        <f>IF($AE$6=1,IFERROR(IF($G80="社馬連",IF(IFERROR(VLOOKUP($F80,リスト!$F$10:$H$51,2,FALSE),2)&lt;&gt;0,1,0),0),1),0)</f>
        <v>0</v>
      </c>
      <c r="AF80" s="212">
        <f t="shared" si="35"/>
        <v>0</v>
      </c>
      <c r="AG80" s="212">
        <f t="shared" si="36"/>
        <v>0</v>
      </c>
      <c r="AH80" s="212">
        <f t="shared" si="37"/>
        <v>0</v>
      </c>
      <c r="AI80" s="212">
        <f t="shared" si="38"/>
        <v>0</v>
      </c>
      <c r="AJ80" s="212">
        <f t="shared" si="39"/>
        <v>0</v>
      </c>
      <c r="AK80" s="212" t="str">
        <f t="shared" si="40"/>
        <v/>
      </c>
      <c r="AL80" s="212">
        <f t="shared" si="41"/>
        <v>0</v>
      </c>
      <c r="AM80" s="212" t="str">
        <f>IFERROR(VLOOKUP($N80,マスタ!$T$4:$AE$51,12,TRUE),"")</f>
        <v/>
      </c>
      <c r="AO80" s="212" t="str">
        <f t="shared" ca="1" si="42"/>
        <v/>
      </c>
      <c r="AP80" s="212" t="str">
        <f t="shared" ca="1" si="43"/>
        <v/>
      </c>
      <c r="AQ80" s="212" t="str">
        <f t="shared" ca="1" si="44"/>
        <v/>
      </c>
      <c r="AR80" s="212" t="str">
        <f t="shared" ca="1" si="28"/>
        <v/>
      </c>
      <c r="AS80" s="212" t="str">
        <f t="shared" ca="1" si="45"/>
        <v/>
      </c>
      <c r="AT80" s="212" t="str">
        <f t="shared" ca="1" si="46"/>
        <v/>
      </c>
      <c r="AU80" s="212" t="str">
        <f t="shared" ca="1" si="47"/>
        <v/>
      </c>
      <c r="AV80" s="212" t="str">
        <f t="shared" ca="1" si="48"/>
        <v/>
      </c>
      <c r="AX80" s="212">
        <f t="shared" si="49"/>
        <v>0</v>
      </c>
      <c r="AY80" s="212">
        <f t="shared" si="50"/>
        <v>73</v>
      </c>
      <c r="AZ80" s="212" t="str">
        <f t="shared" ca="1" si="51"/>
        <v/>
      </c>
      <c r="BA80" s="212" t="str">
        <f t="shared" si="29"/>
        <v/>
      </c>
      <c r="BB80" s="212" t="str">
        <f t="shared" si="52"/>
        <v/>
      </c>
      <c r="BC80" s="212" t="str">
        <f t="shared" ca="1" si="30"/>
        <v/>
      </c>
    </row>
    <row r="81" spans="1:55" ht="24" customHeight="1" x14ac:dyDescent="0.15">
      <c r="A81" s="234">
        <v>74</v>
      </c>
      <c r="B81" s="235" t="str">
        <f>IF($C81&lt;&gt;"",VLOOKUP($N81,マスタ!$H$4:$K$51,3,TRUE),"")</f>
        <v/>
      </c>
      <c r="C81" s="236"/>
      <c r="D81" s="236"/>
      <c r="E81" s="236"/>
      <c r="F81" s="237" t="str">
        <f>IF($R81&lt;&gt;"",IF(VLOOKUP($R81,選手登録!$A$8:$H$57,8,FALSE)&lt;&gt;"",VLOOKUP($R81,選手登録!$A$8:$H$57,8,FALSE),団体登録!$B$7),"")</f>
        <v/>
      </c>
      <c r="G81" s="238"/>
      <c r="H81" s="333" t="str">
        <f t="shared" si="31"/>
        <v/>
      </c>
      <c r="I81" s="239"/>
      <c r="J81" s="233" t="str">
        <f>IF($AC81&gt;0,リスト!$Y$22,IF($AD81=1,リスト!$Y$21,IF($AD81=2,リスト!$Y$23,IF($AE81&gt;0,リスト!$Y$18,IF($AF81&gt;0,リスト!$Y$19,IF($AG81&gt;0,リスト!$Y$20,IF($AH81&gt;0,リスト!$Y$24,IF($AI81&gt;0,リスト!$Y$25,IF($AJ81&gt;0,リスト!$Y$26,"")))))))))</f>
        <v/>
      </c>
      <c r="K81" s="211" t="s">
        <v>149</v>
      </c>
      <c r="M81" s="212">
        <f t="shared" si="32"/>
        <v>74</v>
      </c>
      <c r="N81" s="212" t="str">
        <f>IF($C81&lt;&gt;"",VLOOKUP($C81,マスタ!$L$4:$U$51,9,FALSE),"")</f>
        <v/>
      </c>
      <c r="O81" s="212" t="str">
        <f>IF($C81&lt;&gt;"",VLOOKUP($N81,マスタ!$H$4:$I$51,2,TRUE),"")</f>
        <v/>
      </c>
      <c r="P81" s="212" t="str">
        <f>IF($N81&lt;&gt;"",VLOOKUP($N81,マスタ!$T$4:$W$51,3,FALSE),"")</f>
        <v/>
      </c>
      <c r="Q81" s="212" t="str">
        <f>IF($N81&lt;&gt;"",VLOOKUP($N81,マスタ!$T$4:$W$51,4,FALSE),"")</f>
        <v/>
      </c>
      <c r="R81" s="212" t="str">
        <f>IF($D81&lt;&gt;"",VLOOKUP($D81,選手登録!$N$8:$P$57,3,FALSE),"")</f>
        <v/>
      </c>
      <c r="S81" s="212" t="str">
        <f>IF($R81&lt;&gt;"",VLOOKUP($R81,選手登録!$M$8:$V$57,6,FALSE),"")</f>
        <v/>
      </c>
      <c r="T81" s="212" t="str">
        <f>IF($R81&lt;&gt;"",VLOOKUP($R81,選手登録!$M$8:$V$57,7,FALSE),"")</f>
        <v/>
      </c>
      <c r="U81" s="212" t="str">
        <f>IF($R81&lt;&gt;"",IF(VLOOKUP($R81,選手登録!$M$8:$U$57,9,FALSE)&lt;&gt;"",1,0),"")</f>
        <v/>
      </c>
      <c r="V81" s="212" t="str">
        <f>IF($E81&lt;&gt;"",VLOOKUP($E81,馬匹登録!$L$8:$N$57,3,FALSE),"")</f>
        <v/>
      </c>
      <c r="W81" s="212" t="str">
        <f>IF($V81&lt;&gt;"",IF(VLOOKUP($V81,馬匹登録!$N$8:$O$57,2,FALSE)&lt;&gt;"",1,0),"")</f>
        <v/>
      </c>
      <c r="X81" s="212" t="str">
        <f>IF($V81&lt;&gt;"",IF(VLOOKUP($V81,馬匹登録!$N$8:$Q$57,3,FALSE)&lt;&gt;"",1,0),"")</f>
        <v/>
      </c>
      <c r="Y81" s="212" t="str">
        <f>IF($V81&lt;&gt;"",IF(VLOOKUP($V81,馬匹登録!$N$8:$Q$57,4,FALSE)&lt;&gt;"",1,0),"")</f>
        <v/>
      </c>
      <c r="Z81" s="212" t="str">
        <f>IF($G81&lt;&gt;"",VLOOKUP($G81,リスト!$J$2:$K$5,2,FALSE),"")</f>
        <v/>
      </c>
      <c r="AA81" s="212" t="str">
        <f>IF($E81&lt;&gt;"",IFERROR(VLOOKUP($N81,マスタ!$H$4:$R$51,7+VLOOKUP($G81,リスト!$J$2:$K$5,2,FALSE),FALSE),"-"),"")</f>
        <v/>
      </c>
      <c r="AB81" s="212" t="str">
        <f t="shared" si="33"/>
        <v/>
      </c>
      <c r="AC81" s="212">
        <f>IF($AC$6=1,IFERROR(IF(AND($N81&lt;&gt;"",$R81&lt;&gt;""),IF(VLOOKUP($N81,マスタ!$T$4:$AC$51,4+$S81,FALSE)=0,1,0),0),1),0)</f>
        <v>0</v>
      </c>
      <c r="AD81" s="212">
        <f t="shared" si="34"/>
        <v>0</v>
      </c>
      <c r="AE81" s="212">
        <f>IF($AE$6=1,IFERROR(IF($G81="社馬連",IF(IFERROR(VLOOKUP($F81,リスト!$F$10:$H$51,2,FALSE),2)&lt;&gt;0,1,0),0),1),0)</f>
        <v>0</v>
      </c>
      <c r="AF81" s="212">
        <f t="shared" si="35"/>
        <v>0</v>
      </c>
      <c r="AG81" s="212">
        <f t="shared" si="36"/>
        <v>0</v>
      </c>
      <c r="AH81" s="212">
        <f t="shared" si="37"/>
        <v>0</v>
      </c>
      <c r="AI81" s="212">
        <f t="shared" si="38"/>
        <v>0</v>
      </c>
      <c r="AJ81" s="212">
        <f t="shared" si="39"/>
        <v>0</v>
      </c>
      <c r="AK81" s="212" t="str">
        <f t="shared" si="40"/>
        <v/>
      </c>
      <c r="AL81" s="212">
        <f t="shared" si="41"/>
        <v>0</v>
      </c>
      <c r="AM81" s="212" t="str">
        <f>IFERROR(VLOOKUP($N81,マスタ!$T$4:$AE$51,12,TRUE),"")</f>
        <v/>
      </c>
      <c r="AO81" s="212" t="str">
        <f t="shared" ca="1" si="42"/>
        <v/>
      </c>
      <c r="AP81" s="212" t="str">
        <f t="shared" ca="1" si="43"/>
        <v/>
      </c>
      <c r="AQ81" s="212" t="str">
        <f t="shared" ca="1" si="44"/>
        <v/>
      </c>
      <c r="AR81" s="212" t="str">
        <f t="shared" ca="1" si="28"/>
        <v/>
      </c>
      <c r="AS81" s="212" t="str">
        <f t="shared" ca="1" si="45"/>
        <v/>
      </c>
      <c r="AT81" s="212" t="str">
        <f t="shared" ca="1" si="46"/>
        <v/>
      </c>
      <c r="AU81" s="212" t="str">
        <f t="shared" ca="1" si="47"/>
        <v/>
      </c>
      <c r="AV81" s="212" t="str">
        <f t="shared" ca="1" si="48"/>
        <v/>
      </c>
      <c r="AX81" s="212">
        <f t="shared" si="49"/>
        <v>0</v>
      </c>
      <c r="AY81" s="212">
        <f t="shared" si="50"/>
        <v>74</v>
      </c>
      <c r="AZ81" s="212" t="str">
        <f t="shared" ca="1" si="51"/>
        <v/>
      </c>
      <c r="BA81" s="212" t="str">
        <f t="shared" si="29"/>
        <v/>
      </c>
      <c r="BB81" s="212" t="str">
        <f t="shared" si="52"/>
        <v/>
      </c>
      <c r="BC81" s="212" t="str">
        <f t="shared" ca="1" si="30"/>
        <v/>
      </c>
    </row>
    <row r="82" spans="1:55" ht="24" customHeight="1" x14ac:dyDescent="0.15">
      <c r="A82" s="234">
        <v>75</v>
      </c>
      <c r="B82" s="235" t="str">
        <f>IF($C82&lt;&gt;"",VLOOKUP($N82,マスタ!$H$4:$K$51,3,TRUE),"")</f>
        <v/>
      </c>
      <c r="C82" s="236"/>
      <c r="D82" s="236"/>
      <c r="E82" s="236"/>
      <c r="F82" s="237" t="str">
        <f>IF($R82&lt;&gt;"",IF(VLOOKUP($R82,選手登録!$A$8:$H$57,8,FALSE)&lt;&gt;"",VLOOKUP($R82,選手登録!$A$8:$H$57,8,FALSE),団体登録!$B$7),"")</f>
        <v/>
      </c>
      <c r="G82" s="238"/>
      <c r="H82" s="333" t="str">
        <f t="shared" si="31"/>
        <v/>
      </c>
      <c r="I82" s="239"/>
      <c r="J82" s="233" t="str">
        <f>IF($AC82&gt;0,リスト!$Y$22,IF($AD82=1,リスト!$Y$21,IF($AD82=2,リスト!$Y$23,IF($AE82&gt;0,リスト!$Y$18,IF($AF82&gt;0,リスト!$Y$19,IF($AG82&gt;0,リスト!$Y$20,IF($AH82&gt;0,リスト!$Y$24,IF($AI82&gt;0,リスト!$Y$25,IF($AJ82&gt;0,リスト!$Y$26,"")))))))))</f>
        <v/>
      </c>
      <c r="K82" s="211" t="s">
        <v>149</v>
      </c>
      <c r="M82" s="212">
        <f t="shared" si="32"/>
        <v>75</v>
      </c>
      <c r="N82" s="212" t="str">
        <f>IF($C82&lt;&gt;"",VLOOKUP($C82,マスタ!$L$4:$U$51,9,FALSE),"")</f>
        <v/>
      </c>
      <c r="O82" s="212" t="str">
        <f>IF($C82&lt;&gt;"",VLOOKUP($N82,マスタ!$H$4:$I$51,2,TRUE),"")</f>
        <v/>
      </c>
      <c r="P82" s="212" t="str">
        <f>IF($N82&lt;&gt;"",VLOOKUP($N82,マスタ!$T$4:$W$51,3,FALSE),"")</f>
        <v/>
      </c>
      <c r="Q82" s="212" t="str">
        <f>IF($N82&lt;&gt;"",VLOOKUP($N82,マスタ!$T$4:$W$51,4,FALSE),"")</f>
        <v/>
      </c>
      <c r="R82" s="212" t="str">
        <f>IF($D82&lt;&gt;"",VLOOKUP($D82,選手登録!$N$8:$P$57,3,FALSE),"")</f>
        <v/>
      </c>
      <c r="S82" s="212" t="str">
        <f>IF($R82&lt;&gt;"",VLOOKUP($R82,選手登録!$M$8:$V$57,6,FALSE),"")</f>
        <v/>
      </c>
      <c r="T82" s="212" t="str">
        <f>IF($R82&lt;&gt;"",VLOOKUP($R82,選手登録!$M$8:$V$57,7,FALSE),"")</f>
        <v/>
      </c>
      <c r="U82" s="212" t="str">
        <f>IF($R82&lt;&gt;"",IF(VLOOKUP($R82,選手登録!$M$8:$U$57,9,FALSE)&lt;&gt;"",1,0),"")</f>
        <v/>
      </c>
      <c r="V82" s="212" t="str">
        <f>IF($E82&lt;&gt;"",VLOOKUP($E82,馬匹登録!$L$8:$N$57,3,FALSE),"")</f>
        <v/>
      </c>
      <c r="W82" s="212" t="str">
        <f>IF($V82&lt;&gt;"",IF(VLOOKUP($V82,馬匹登録!$N$8:$O$57,2,FALSE)&lt;&gt;"",1,0),"")</f>
        <v/>
      </c>
      <c r="X82" s="212" t="str">
        <f>IF($V82&lt;&gt;"",IF(VLOOKUP($V82,馬匹登録!$N$8:$Q$57,3,FALSE)&lt;&gt;"",1,0),"")</f>
        <v/>
      </c>
      <c r="Y82" s="212" t="str">
        <f>IF($V82&lt;&gt;"",IF(VLOOKUP($V82,馬匹登録!$N$8:$Q$57,4,FALSE)&lt;&gt;"",1,0),"")</f>
        <v/>
      </c>
      <c r="Z82" s="212" t="str">
        <f>IF($G82&lt;&gt;"",VLOOKUP($G82,リスト!$J$2:$K$5,2,FALSE),"")</f>
        <v/>
      </c>
      <c r="AA82" s="212" t="str">
        <f>IF($E82&lt;&gt;"",IFERROR(VLOOKUP($N82,マスタ!$H$4:$R$51,7+VLOOKUP($G82,リスト!$J$2:$K$5,2,FALSE),FALSE),"-"),"")</f>
        <v/>
      </c>
      <c r="AB82" s="212" t="str">
        <f t="shared" si="33"/>
        <v/>
      </c>
      <c r="AC82" s="212">
        <f>IF($AC$6=1,IFERROR(IF(AND($N82&lt;&gt;"",$R82&lt;&gt;""),IF(VLOOKUP($N82,マスタ!$T$4:$AC$51,4+$S82,FALSE)=0,1,0),0),1),0)</f>
        <v>0</v>
      </c>
      <c r="AD82" s="212">
        <f t="shared" si="34"/>
        <v>0</v>
      </c>
      <c r="AE82" s="212">
        <f>IF($AE$6=1,IFERROR(IF($G82="社馬連",IF(IFERROR(VLOOKUP($F82,リスト!$F$10:$H$51,2,FALSE),2)&lt;&gt;0,1,0),0),1),0)</f>
        <v>0</v>
      </c>
      <c r="AF82" s="212">
        <f t="shared" si="35"/>
        <v>0</v>
      </c>
      <c r="AG82" s="212">
        <f t="shared" si="36"/>
        <v>0</v>
      </c>
      <c r="AH82" s="212">
        <f t="shared" si="37"/>
        <v>0</v>
      </c>
      <c r="AI82" s="212">
        <f t="shared" si="38"/>
        <v>0</v>
      </c>
      <c r="AJ82" s="212">
        <f t="shared" si="39"/>
        <v>0</v>
      </c>
      <c r="AK82" s="212" t="str">
        <f t="shared" si="40"/>
        <v/>
      </c>
      <c r="AL82" s="212">
        <f t="shared" si="41"/>
        <v>0</v>
      </c>
      <c r="AM82" s="212" t="str">
        <f>IFERROR(VLOOKUP($N82,マスタ!$T$4:$AE$51,12,TRUE),"")</f>
        <v/>
      </c>
      <c r="AO82" s="212" t="str">
        <f t="shared" ca="1" si="42"/>
        <v/>
      </c>
      <c r="AP82" s="212" t="str">
        <f t="shared" ca="1" si="43"/>
        <v/>
      </c>
      <c r="AQ82" s="212" t="str">
        <f t="shared" ca="1" si="44"/>
        <v/>
      </c>
      <c r="AR82" s="212" t="str">
        <f t="shared" ca="1" si="28"/>
        <v/>
      </c>
      <c r="AS82" s="212" t="str">
        <f t="shared" ca="1" si="45"/>
        <v/>
      </c>
      <c r="AT82" s="212" t="str">
        <f t="shared" ca="1" si="46"/>
        <v/>
      </c>
      <c r="AU82" s="212" t="str">
        <f t="shared" ca="1" si="47"/>
        <v/>
      </c>
      <c r="AV82" s="212" t="str">
        <f t="shared" ca="1" si="48"/>
        <v/>
      </c>
      <c r="AX82" s="212">
        <f t="shared" si="49"/>
        <v>0</v>
      </c>
      <c r="AY82" s="212">
        <f t="shared" si="50"/>
        <v>75</v>
      </c>
      <c r="AZ82" s="212" t="str">
        <f t="shared" ca="1" si="51"/>
        <v/>
      </c>
      <c r="BA82" s="212" t="str">
        <f t="shared" si="29"/>
        <v/>
      </c>
      <c r="BB82" s="212" t="str">
        <f t="shared" si="52"/>
        <v/>
      </c>
      <c r="BC82" s="212" t="str">
        <f t="shared" ca="1" si="30"/>
        <v/>
      </c>
    </row>
    <row r="83" spans="1:55" ht="24" customHeight="1" x14ac:dyDescent="0.15">
      <c r="A83" s="234">
        <v>76</v>
      </c>
      <c r="B83" s="235" t="str">
        <f>IF($C83&lt;&gt;"",VLOOKUP($N83,マスタ!$H$4:$K$51,3,TRUE),"")</f>
        <v/>
      </c>
      <c r="C83" s="236"/>
      <c r="D83" s="236"/>
      <c r="E83" s="236"/>
      <c r="F83" s="237" t="str">
        <f>IF($R83&lt;&gt;"",IF(VLOOKUP($R83,選手登録!$A$8:$H$57,8,FALSE)&lt;&gt;"",VLOOKUP($R83,選手登録!$A$8:$H$57,8,FALSE),団体登録!$B$7),"")</f>
        <v/>
      </c>
      <c r="G83" s="238"/>
      <c r="H83" s="333" t="str">
        <f t="shared" si="31"/>
        <v/>
      </c>
      <c r="I83" s="239"/>
      <c r="J83" s="233" t="str">
        <f>IF($AC83&gt;0,リスト!$Y$22,IF($AD83=1,リスト!$Y$21,IF($AD83=2,リスト!$Y$23,IF($AE83&gt;0,リスト!$Y$18,IF($AF83&gt;0,リスト!$Y$19,IF($AG83&gt;0,リスト!$Y$20,IF($AH83&gt;0,リスト!$Y$24,IF($AI83&gt;0,リスト!$Y$25,IF($AJ83&gt;0,リスト!$Y$26,"")))))))))</f>
        <v/>
      </c>
      <c r="K83" s="211" t="s">
        <v>149</v>
      </c>
      <c r="M83" s="212">
        <f t="shared" si="32"/>
        <v>76</v>
      </c>
      <c r="N83" s="212" t="str">
        <f>IF($C83&lt;&gt;"",VLOOKUP($C83,マスタ!$L$4:$U$51,9,FALSE),"")</f>
        <v/>
      </c>
      <c r="O83" s="212" t="str">
        <f>IF($C83&lt;&gt;"",VLOOKUP($N83,マスタ!$H$4:$I$51,2,TRUE),"")</f>
        <v/>
      </c>
      <c r="P83" s="212" t="str">
        <f>IF($N83&lt;&gt;"",VLOOKUP($N83,マスタ!$T$4:$W$51,3,FALSE),"")</f>
        <v/>
      </c>
      <c r="Q83" s="212" t="str">
        <f>IF($N83&lt;&gt;"",VLOOKUP($N83,マスタ!$T$4:$W$51,4,FALSE),"")</f>
        <v/>
      </c>
      <c r="R83" s="212" t="str">
        <f>IF($D83&lt;&gt;"",VLOOKUP($D83,選手登録!$N$8:$P$57,3,FALSE),"")</f>
        <v/>
      </c>
      <c r="S83" s="212" t="str">
        <f>IF($R83&lt;&gt;"",VLOOKUP($R83,選手登録!$M$8:$V$57,6,FALSE),"")</f>
        <v/>
      </c>
      <c r="T83" s="212" t="str">
        <f>IF($R83&lt;&gt;"",VLOOKUP($R83,選手登録!$M$8:$V$57,7,FALSE),"")</f>
        <v/>
      </c>
      <c r="U83" s="212" t="str">
        <f>IF($R83&lt;&gt;"",IF(VLOOKUP($R83,選手登録!$M$8:$U$57,9,FALSE)&lt;&gt;"",1,0),"")</f>
        <v/>
      </c>
      <c r="V83" s="212" t="str">
        <f>IF($E83&lt;&gt;"",VLOOKUP($E83,馬匹登録!$L$8:$N$57,3,FALSE),"")</f>
        <v/>
      </c>
      <c r="W83" s="212" t="str">
        <f>IF($V83&lt;&gt;"",IF(VLOOKUP($V83,馬匹登録!$N$8:$O$57,2,FALSE)&lt;&gt;"",1,0),"")</f>
        <v/>
      </c>
      <c r="X83" s="212" t="str">
        <f>IF($V83&lt;&gt;"",IF(VLOOKUP($V83,馬匹登録!$N$8:$Q$57,3,FALSE)&lt;&gt;"",1,0),"")</f>
        <v/>
      </c>
      <c r="Y83" s="212" t="str">
        <f>IF($V83&lt;&gt;"",IF(VLOOKUP($V83,馬匹登録!$N$8:$Q$57,4,FALSE)&lt;&gt;"",1,0),"")</f>
        <v/>
      </c>
      <c r="Z83" s="212" t="str">
        <f>IF($G83&lt;&gt;"",VLOOKUP($G83,リスト!$J$2:$K$5,2,FALSE),"")</f>
        <v/>
      </c>
      <c r="AA83" s="212" t="str">
        <f>IF($E83&lt;&gt;"",IFERROR(VLOOKUP($N83,マスタ!$H$4:$R$51,7+VLOOKUP($G83,リスト!$J$2:$K$5,2,FALSE),FALSE),"-"),"")</f>
        <v/>
      </c>
      <c r="AB83" s="212" t="str">
        <f t="shared" si="33"/>
        <v/>
      </c>
      <c r="AC83" s="212">
        <f>IF($AC$6=1,IFERROR(IF(AND($N83&lt;&gt;"",$R83&lt;&gt;""),IF(VLOOKUP($N83,マスタ!$T$4:$AC$51,4+$S83,FALSE)=0,1,0),0),1),0)</f>
        <v>0</v>
      </c>
      <c r="AD83" s="212">
        <f t="shared" si="34"/>
        <v>0</v>
      </c>
      <c r="AE83" s="212">
        <f>IF($AE$6=1,IFERROR(IF($G83="社馬連",IF(IFERROR(VLOOKUP($F83,リスト!$F$10:$H$51,2,FALSE),2)&lt;&gt;0,1,0),0),1),0)</f>
        <v>0</v>
      </c>
      <c r="AF83" s="212">
        <f t="shared" si="35"/>
        <v>0</v>
      </c>
      <c r="AG83" s="212">
        <f t="shared" si="36"/>
        <v>0</v>
      </c>
      <c r="AH83" s="212">
        <f t="shared" si="37"/>
        <v>0</v>
      </c>
      <c r="AI83" s="212">
        <f t="shared" si="38"/>
        <v>0</v>
      </c>
      <c r="AJ83" s="212">
        <f t="shared" si="39"/>
        <v>0</v>
      </c>
      <c r="AK83" s="212" t="str">
        <f t="shared" si="40"/>
        <v/>
      </c>
      <c r="AL83" s="212">
        <f t="shared" si="41"/>
        <v>0</v>
      </c>
      <c r="AM83" s="212" t="str">
        <f>IFERROR(VLOOKUP($N83,マスタ!$T$4:$AE$51,12,TRUE),"")</f>
        <v/>
      </c>
      <c r="AO83" s="212" t="str">
        <f t="shared" ca="1" si="42"/>
        <v/>
      </c>
      <c r="AP83" s="212" t="str">
        <f t="shared" ca="1" si="43"/>
        <v/>
      </c>
      <c r="AQ83" s="212" t="str">
        <f t="shared" ca="1" si="44"/>
        <v/>
      </c>
      <c r="AR83" s="212" t="str">
        <f t="shared" ca="1" si="28"/>
        <v/>
      </c>
      <c r="AS83" s="212" t="str">
        <f t="shared" ca="1" si="45"/>
        <v/>
      </c>
      <c r="AT83" s="212" t="str">
        <f t="shared" ca="1" si="46"/>
        <v/>
      </c>
      <c r="AU83" s="212" t="str">
        <f t="shared" ca="1" si="47"/>
        <v/>
      </c>
      <c r="AV83" s="212" t="str">
        <f t="shared" ca="1" si="48"/>
        <v/>
      </c>
      <c r="AX83" s="212">
        <f t="shared" si="49"/>
        <v>0</v>
      </c>
      <c r="AY83" s="212">
        <f t="shared" si="50"/>
        <v>76</v>
      </c>
      <c r="AZ83" s="212" t="str">
        <f t="shared" ca="1" si="51"/>
        <v/>
      </c>
      <c r="BA83" s="212" t="str">
        <f t="shared" si="29"/>
        <v/>
      </c>
      <c r="BB83" s="212" t="str">
        <f t="shared" si="52"/>
        <v/>
      </c>
      <c r="BC83" s="212" t="str">
        <f t="shared" ca="1" si="30"/>
        <v/>
      </c>
    </row>
    <row r="84" spans="1:55" ht="24" customHeight="1" x14ac:dyDescent="0.15">
      <c r="A84" s="234">
        <v>77</v>
      </c>
      <c r="B84" s="235" t="str">
        <f>IF($C84&lt;&gt;"",VLOOKUP($N84,マスタ!$H$4:$K$51,3,TRUE),"")</f>
        <v/>
      </c>
      <c r="C84" s="236"/>
      <c r="D84" s="236"/>
      <c r="E84" s="236"/>
      <c r="F84" s="237" t="str">
        <f>IF($R84&lt;&gt;"",IF(VLOOKUP($R84,選手登録!$A$8:$H$57,8,FALSE)&lt;&gt;"",VLOOKUP($R84,選手登録!$A$8:$H$57,8,FALSE),団体登録!$B$7),"")</f>
        <v/>
      </c>
      <c r="G84" s="238"/>
      <c r="H84" s="333" t="str">
        <f t="shared" si="31"/>
        <v/>
      </c>
      <c r="I84" s="239"/>
      <c r="J84" s="233" t="str">
        <f>IF($AC84&gt;0,リスト!$Y$22,IF($AD84=1,リスト!$Y$21,IF($AD84=2,リスト!$Y$23,IF($AE84&gt;0,リスト!$Y$18,IF($AF84&gt;0,リスト!$Y$19,IF($AG84&gt;0,リスト!$Y$20,IF($AH84&gt;0,リスト!$Y$24,IF($AI84&gt;0,リスト!$Y$25,IF($AJ84&gt;0,リスト!$Y$26,"")))))))))</f>
        <v/>
      </c>
      <c r="K84" s="211" t="s">
        <v>149</v>
      </c>
      <c r="M84" s="212">
        <f t="shared" si="32"/>
        <v>77</v>
      </c>
      <c r="N84" s="212" t="str">
        <f>IF($C84&lt;&gt;"",VLOOKUP($C84,マスタ!$L$4:$U$51,9,FALSE),"")</f>
        <v/>
      </c>
      <c r="O84" s="212" t="str">
        <f>IF($C84&lt;&gt;"",VLOOKUP($N84,マスタ!$H$4:$I$51,2,TRUE),"")</f>
        <v/>
      </c>
      <c r="P84" s="212" t="str">
        <f>IF($N84&lt;&gt;"",VLOOKUP($N84,マスタ!$T$4:$W$51,3,FALSE),"")</f>
        <v/>
      </c>
      <c r="Q84" s="212" t="str">
        <f>IF($N84&lt;&gt;"",VLOOKUP($N84,マスタ!$T$4:$W$51,4,FALSE),"")</f>
        <v/>
      </c>
      <c r="R84" s="212" t="str">
        <f>IF($D84&lt;&gt;"",VLOOKUP($D84,選手登録!$N$8:$P$57,3,FALSE),"")</f>
        <v/>
      </c>
      <c r="S84" s="212" t="str">
        <f>IF($R84&lt;&gt;"",VLOOKUP($R84,選手登録!$M$8:$V$57,6,FALSE),"")</f>
        <v/>
      </c>
      <c r="T84" s="212" t="str">
        <f>IF($R84&lt;&gt;"",VLOOKUP($R84,選手登録!$M$8:$V$57,7,FALSE),"")</f>
        <v/>
      </c>
      <c r="U84" s="212" t="str">
        <f>IF($R84&lt;&gt;"",IF(VLOOKUP($R84,選手登録!$M$8:$U$57,9,FALSE)&lt;&gt;"",1,0),"")</f>
        <v/>
      </c>
      <c r="V84" s="212" t="str">
        <f>IF($E84&lt;&gt;"",VLOOKUP($E84,馬匹登録!$L$8:$N$57,3,FALSE),"")</f>
        <v/>
      </c>
      <c r="W84" s="212" t="str">
        <f>IF($V84&lt;&gt;"",IF(VLOOKUP($V84,馬匹登録!$N$8:$O$57,2,FALSE)&lt;&gt;"",1,0),"")</f>
        <v/>
      </c>
      <c r="X84" s="212" t="str">
        <f>IF($V84&lt;&gt;"",IF(VLOOKUP($V84,馬匹登録!$N$8:$Q$57,3,FALSE)&lt;&gt;"",1,0),"")</f>
        <v/>
      </c>
      <c r="Y84" s="212" t="str">
        <f>IF($V84&lt;&gt;"",IF(VLOOKUP($V84,馬匹登録!$N$8:$Q$57,4,FALSE)&lt;&gt;"",1,0),"")</f>
        <v/>
      </c>
      <c r="Z84" s="212" t="str">
        <f>IF($G84&lt;&gt;"",VLOOKUP($G84,リスト!$J$2:$K$5,2,FALSE),"")</f>
        <v/>
      </c>
      <c r="AA84" s="212" t="str">
        <f>IF($E84&lt;&gt;"",IFERROR(VLOOKUP($N84,マスタ!$H$4:$R$51,7+VLOOKUP($G84,リスト!$J$2:$K$5,2,FALSE),FALSE),"-"),"")</f>
        <v/>
      </c>
      <c r="AB84" s="212" t="str">
        <f t="shared" si="33"/>
        <v/>
      </c>
      <c r="AC84" s="212">
        <f>IF($AC$6=1,IFERROR(IF(AND($N84&lt;&gt;"",$R84&lt;&gt;""),IF(VLOOKUP($N84,マスタ!$T$4:$AC$51,4+$S84,FALSE)=0,1,0),0),1),0)</f>
        <v>0</v>
      </c>
      <c r="AD84" s="212">
        <f t="shared" si="34"/>
        <v>0</v>
      </c>
      <c r="AE84" s="212">
        <f>IF($AE$6=1,IFERROR(IF($G84="社馬連",IF(IFERROR(VLOOKUP($F84,リスト!$F$10:$H$51,2,FALSE),2)&lt;&gt;0,1,0),0),1),0)</f>
        <v>0</v>
      </c>
      <c r="AF84" s="212">
        <f t="shared" si="35"/>
        <v>0</v>
      </c>
      <c r="AG84" s="212">
        <f t="shared" si="36"/>
        <v>0</v>
      </c>
      <c r="AH84" s="212">
        <f t="shared" si="37"/>
        <v>0</v>
      </c>
      <c r="AI84" s="212">
        <f t="shared" si="38"/>
        <v>0</v>
      </c>
      <c r="AJ84" s="212">
        <f t="shared" si="39"/>
        <v>0</v>
      </c>
      <c r="AK84" s="212" t="str">
        <f t="shared" si="40"/>
        <v/>
      </c>
      <c r="AL84" s="212">
        <f t="shared" si="41"/>
        <v>0</v>
      </c>
      <c r="AM84" s="212" t="str">
        <f>IFERROR(VLOOKUP($N84,マスタ!$T$4:$AE$51,12,TRUE),"")</f>
        <v/>
      </c>
      <c r="AO84" s="212" t="str">
        <f t="shared" ca="1" si="42"/>
        <v/>
      </c>
      <c r="AP84" s="212" t="str">
        <f t="shared" ca="1" si="43"/>
        <v/>
      </c>
      <c r="AQ84" s="212" t="str">
        <f t="shared" ca="1" si="44"/>
        <v/>
      </c>
      <c r="AR84" s="212" t="str">
        <f t="shared" ca="1" si="28"/>
        <v/>
      </c>
      <c r="AS84" s="212" t="str">
        <f t="shared" ca="1" si="45"/>
        <v/>
      </c>
      <c r="AT84" s="212" t="str">
        <f t="shared" ca="1" si="46"/>
        <v/>
      </c>
      <c r="AU84" s="212" t="str">
        <f t="shared" ca="1" si="47"/>
        <v/>
      </c>
      <c r="AV84" s="212" t="str">
        <f t="shared" ca="1" si="48"/>
        <v/>
      </c>
      <c r="AX84" s="212">
        <f t="shared" si="49"/>
        <v>0</v>
      </c>
      <c r="AY84" s="212">
        <f t="shared" si="50"/>
        <v>77</v>
      </c>
      <c r="AZ84" s="212" t="str">
        <f t="shared" ca="1" si="51"/>
        <v/>
      </c>
      <c r="BA84" s="212" t="str">
        <f t="shared" si="29"/>
        <v/>
      </c>
      <c r="BB84" s="212" t="str">
        <f t="shared" si="52"/>
        <v/>
      </c>
      <c r="BC84" s="212" t="str">
        <f t="shared" ca="1" si="30"/>
        <v/>
      </c>
    </row>
    <row r="85" spans="1:55" ht="24" customHeight="1" x14ac:dyDescent="0.15">
      <c r="A85" s="234">
        <v>78</v>
      </c>
      <c r="B85" s="235" t="str">
        <f>IF($C85&lt;&gt;"",VLOOKUP($N85,マスタ!$H$4:$K$51,3,TRUE),"")</f>
        <v/>
      </c>
      <c r="C85" s="236"/>
      <c r="D85" s="236"/>
      <c r="E85" s="236"/>
      <c r="F85" s="237" t="str">
        <f>IF($R85&lt;&gt;"",IF(VLOOKUP($R85,選手登録!$A$8:$H$57,8,FALSE)&lt;&gt;"",VLOOKUP($R85,選手登録!$A$8:$H$57,8,FALSE),団体登録!$B$7),"")</f>
        <v/>
      </c>
      <c r="G85" s="238"/>
      <c r="H85" s="333" t="str">
        <f t="shared" si="31"/>
        <v/>
      </c>
      <c r="I85" s="239"/>
      <c r="J85" s="233" t="str">
        <f>IF($AC85&gt;0,リスト!$Y$22,IF($AD85=1,リスト!$Y$21,IF($AD85=2,リスト!$Y$23,IF($AE85&gt;0,リスト!$Y$18,IF($AF85&gt;0,リスト!$Y$19,IF($AG85&gt;0,リスト!$Y$20,IF($AH85&gt;0,リスト!$Y$24,IF($AI85&gt;0,リスト!$Y$25,IF($AJ85&gt;0,リスト!$Y$26,"")))))))))</f>
        <v/>
      </c>
      <c r="K85" s="211" t="s">
        <v>149</v>
      </c>
      <c r="M85" s="212">
        <f t="shared" si="32"/>
        <v>78</v>
      </c>
      <c r="N85" s="212" t="str">
        <f>IF($C85&lt;&gt;"",VLOOKUP($C85,マスタ!$L$4:$U$51,9,FALSE),"")</f>
        <v/>
      </c>
      <c r="O85" s="212" t="str">
        <f>IF($C85&lt;&gt;"",VLOOKUP($N85,マスタ!$H$4:$I$51,2,TRUE),"")</f>
        <v/>
      </c>
      <c r="P85" s="212" t="str">
        <f>IF($N85&lt;&gt;"",VLOOKUP($N85,マスタ!$T$4:$W$51,3,FALSE),"")</f>
        <v/>
      </c>
      <c r="Q85" s="212" t="str">
        <f>IF($N85&lt;&gt;"",VLOOKUP($N85,マスタ!$T$4:$W$51,4,FALSE),"")</f>
        <v/>
      </c>
      <c r="R85" s="212" t="str">
        <f>IF($D85&lt;&gt;"",VLOOKUP($D85,選手登録!$N$8:$P$57,3,FALSE),"")</f>
        <v/>
      </c>
      <c r="S85" s="212" t="str">
        <f>IF($R85&lt;&gt;"",VLOOKUP($R85,選手登録!$M$8:$V$57,6,FALSE),"")</f>
        <v/>
      </c>
      <c r="T85" s="212" t="str">
        <f>IF($R85&lt;&gt;"",VLOOKUP($R85,選手登録!$M$8:$V$57,7,FALSE),"")</f>
        <v/>
      </c>
      <c r="U85" s="212" t="str">
        <f>IF($R85&lt;&gt;"",IF(VLOOKUP($R85,選手登録!$M$8:$U$57,9,FALSE)&lt;&gt;"",1,0),"")</f>
        <v/>
      </c>
      <c r="V85" s="212" t="str">
        <f>IF($E85&lt;&gt;"",VLOOKUP($E85,馬匹登録!$L$8:$N$57,3,FALSE),"")</f>
        <v/>
      </c>
      <c r="W85" s="212" t="str">
        <f>IF($V85&lt;&gt;"",IF(VLOOKUP($V85,馬匹登録!$N$8:$O$57,2,FALSE)&lt;&gt;"",1,0),"")</f>
        <v/>
      </c>
      <c r="X85" s="212" t="str">
        <f>IF($V85&lt;&gt;"",IF(VLOOKUP($V85,馬匹登録!$N$8:$Q$57,3,FALSE)&lt;&gt;"",1,0),"")</f>
        <v/>
      </c>
      <c r="Y85" s="212" t="str">
        <f>IF($V85&lt;&gt;"",IF(VLOOKUP($V85,馬匹登録!$N$8:$Q$57,4,FALSE)&lt;&gt;"",1,0),"")</f>
        <v/>
      </c>
      <c r="Z85" s="212" t="str">
        <f>IF($G85&lt;&gt;"",VLOOKUP($G85,リスト!$J$2:$K$5,2,FALSE),"")</f>
        <v/>
      </c>
      <c r="AA85" s="212" t="str">
        <f>IF($E85&lt;&gt;"",IFERROR(VLOOKUP($N85,マスタ!$H$4:$R$51,7+VLOOKUP($G85,リスト!$J$2:$K$5,2,FALSE),FALSE),"-"),"")</f>
        <v/>
      </c>
      <c r="AB85" s="212" t="str">
        <f t="shared" si="33"/>
        <v/>
      </c>
      <c r="AC85" s="212">
        <f>IF($AC$6=1,IFERROR(IF(AND($N85&lt;&gt;"",$R85&lt;&gt;""),IF(VLOOKUP($N85,マスタ!$T$4:$AC$51,4+$S85,FALSE)=0,1,0),0),1),0)</f>
        <v>0</v>
      </c>
      <c r="AD85" s="212">
        <f t="shared" si="34"/>
        <v>0</v>
      </c>
      <c r="AE85" s="212">
        <f>IF($AE$6=1,IFERROR(IF($G85="社馬連",IF(IFERROR(VLOOKUP($F85,リスト!$F$10:$H$51,2,FALSE),2)&lt;&gt;0,1,0),0),1),0)</f>
        <v>0</v>
      </c>
      <c r="AF85" s="212">
        <f t="shared" si="35"/>
        <v>0</v>
      </c>
      <c r="AG85" s="212">
        <f t="shared" si="36"/>
        <v>0</v>
      </c>
      <c r="AH85" s="212">
        <f t="shared" si="37"/>
        <v>0</v>
      </c>
      <c r="AI85" s="212">
        <f t="shared" si="38"/>
        <v>0</v>
      </c>
      <c r="AJ85" s="212">
        <f t="shared" si="39"/>
        <v>0</v>
      </c>
      <c r="AK85" s="212" t="str">
        <f t="shared" si="40"/>
        <v/>
      </c>
      <c r="AL85" s="212">
        <f t="shared" si="41"/>
        <v>0</v>
      </c>
      <c r="AM85" s="212" t="str">
        <f>IFERROR(VLOOKUP($N85,マスタ!$T$4:$AE$51,12,TRUE),"")</f>
        <v/>
      </c>
      <c r="AO85" s="212" t="str">
        <f t="shared" ca="1" si="42"/>
        <v/>
      </c>
      <c r="AP85" s="212" t="str">
        <f t="shared" ca="1" si="43"/>
        <v/>
      </c>
      <c r="AQ85" s="212" t="str">
        <f t="shared" ca="1" si="44"/>
        <v/>
      </c>
      <c r="AR85" s="212" t="str">
        <f t="shared" ca="1" si="28"/>
        <v/>
      </c>
      <c r="AS85" s="212" t="str">
        <f t="shared" ca="1" si="45"/>
        <v/>
      </c>
      <c r="AT85" s="212" t="str">
        <f t="shared" ca="1" si="46"/>
        <v/>
      </c>
      <c r="AU85" s="212" t="str">
        <f t="shared" ca="1" si="47"/>
        <v/>
      </c>
      <c r="AV85" s="212" t="str">
        <f t="shared" ca="1" si="48"/>
        <v/>
      </c>
      <c r="AX85" s="212">
        <f t="shared" si="49"/>
        <v>0</v>
      </c>
      <c r="AY85" s="212">
        <f t="shared" si="50"/>
        <v>78</v>
      </c>
      <c r="AZ85" s="212" t="str">
        <f t="shared" ca="1" si="51"/>
        <v/>
      </c>
      <c r="BA85" s="212" t="str">
        <f t="shared" si="29"/>
        <v/>
      </c>
      <c r="BB85" s="212" t="str">
        <f t="shared" si="52"/>
        <v/>
      </c>
      <c r="BC85" s="212" t="str">
        <f t="shared" ca="1" si="30"/>
        <v/>
      </c>
    </row>
    <row r="86" spans="1:55" ht="24" customHeight="1" x14ac:dyDescent="0.15">
      <c r="A86" s="234">
        <v>79</v>
      </c>
      <c r="B86" s="235" t="str">
        <f>IF($C86&lt;&gt;"",VLOOKUP($N86,マスタ!$H$4:$K$51,3,TRUE),"")</f>
        <v/>
      </c>
      <c r="C86" s="236"/>
      <c r="D86" s="236"/>
      <c r="E86" s="236"/>
      <c r="F86" s="237" t="str">
        <f>IF($R86&lt;&gt;"",IF(VLOOKUP($R86,選手登録!$A$8:$H$57,8,FALSE)&lt;&gt;"",VLOOKUP($R86,選手登録!$A$8:$H$57,8,FALSE),団体登録!$B$7),"")</f>
        <v/>
      </c>
      <c r="G86" s="238"/>
      <c r="H86" s="333" t="str">
        <f t="shared" si="31"/>
        <v/>
      </c>
      <c r="I86" s="239"/>
      <c r="J86" s="233" t="str">
        <f>IF($AC86&gt;0,リスト!$Y$22,IF($AD86=1,リスト!$Y$21,IF($AD86=2,リスト!$Y$23,IF($AE86&gt;0,リスト!$Y$18,IF($AF86&gt;0,リスト!$Y$19,IF($AG86&gt;0,リスト!$Y$20,IF($AH86&gt;0,リスト!$Y$24,IF($AI86&gt;0,リスト!$Y$25,IF($AJ86&gt;0,リスト!$Y$26,"")))))))))</f>
        <v/>
      </c>
      <c r="K86" s="211" t="s">
        <v>149</v>
      </c>
      <c r="M86" s="212">
        <f t="shared" si="32"/>
        <v>79</v>
      </c>
      <c r="N86" s="212" t="str">
        <f>IF($C86&lt;&gt;"",VLOOKUP($C86,マスタ!$L$4:$U$51,9,FALSE),"")</f>
        <v/>
      </c>
      <c r="O86" s="212" t="str">
        <f>IF($C86&lt;&gt;"",VLOOKUP($N86,マスタ!$H$4:$I$51,2,TRUE),"")</f>
        <v/>
      </c>
      <c r="P86" s="212" t="str">
        <f>IF($N86&lt;&gt;"",VLOOKUP($N86,マスタ!$T$4:$W$51,3,FALSE),"")</f>
        <v/>
      </c>
      <c r="Q86" s="212" t="str">
        <f>IF($N86&lt;&gt;"",VLOOKUP($N86,マスタ!$T$4:$W$51,4,FALSE),"")</f>
        <v/>
      </c>
      <c r="R86" s="212" t="str">
        <f>IF($D86&lt;&gt;"",VLOOKUP($D86,選手登録!$N$8:$P$57,3,FALSE),"")</f>
        <v/>
      </c>
      <c r="S86" s="212" t="str">
        <f>IF($R86&lt;&gt;"",VLOOKUP($R86,選手登録!$M$8:$V$57,6,FALSE),"")</f>
        <v/>
      </c>
      <c r="T86" s="212" t="str">
        <f>IF($R86&lt;&gt;"",VLOOKUP($R86,選手登録!$M$8:$V$57,7,FALSE),"")</f>
        <v/>
      </c>
      <c r="U86" s="212" t="str">
        <f>IF($R86&lt;&gt;"",IF(VLOOKUP($R86,選手登録!$M$8:$U$57,9,FALSE)&lt;&gt;"",1,0),"")</f>
        <v/>
      </c>
      <c r="V86" s="212" t="str">
        <f>IF($E86&lt;&gt;"",VLOOKUP($E86,馬匹登録!$L$8:$N$57,3,FALSE),"")</f>
        <v/>
      </c>
      <c r="W86" s="212" t="str">
        <f>IF($V86&lt;&gt;"",IF(VLOOKUP($V86,馬匹登録!$N$8:$O$57,2,FALSE)&lt;&gt;"",1,0),"")</f>
        <v/>
      </c>
      <c r="X86" s="212" t="str">
        <f>IF($V86&lt;&gt;"",IF(VLOOKUP($V86,馬匹登録!$N$8:$Q$57,3,FALSE)&lt;&gt;"",1,0),"")</f>
        <v/>
      </c>
      <c r="Y86" s="212" t="str">
        <f>IF($V86&lt;&gt;"",IF(VLOOKUP($V86,馬匹登録!$N$8:$Q$57,4,FALSE)&lt;&gt;"",1,0),"")</f>
        <v/>
      </c>
      <c r="Z86" s="212" t="str">
        <f>IF($G86&lt;&gt;"",VLOOKUP($G86,リスト!$J$2:$K$5,2,FALSE),"")</f>
        <v/>
      </c>
      <c r="AA86" s="212" t="str">
        <f>IF($E86&lt;&gt;"",IFERROR(VLOOKUP($N86,マスタ!$H$4:$R$51,7+VLOOKUP($G86,リスト!$J$2:$K$5,2,FALSE),FALSE),"-"),"")</f>
        <v/>
      </c>
      <c r="AB86" s="212" t="str">
        <f t="shared" si="33"/>
        <v/>
      </c>
      <c r="AC86" s="212">
        <f>IF($AC$6=1,IFERROR(IF(AND($N86&lt;&gt;"",$R86&lt;&gt;""),IF(VLOOKUP($N86,マスタ!$T$4:$AC$51,4+$S86,FALSE)=0,1,0),0),1),0)</f>
        <v>0</v>
      </c>
      <c r="AD86" s="212">
        <f t="shared" si="34"/>
        <v>0</v>
      </c>
      <c r="AE86" s="212">
        <f>IF($AE$6=1,IFERROR(IF($G86="社馬連",IF(IFERROR(VLOOKUP($F86,リスト!$F$10:$H$51,2,FALSE),2)&lt;&gt;0,1,0),0),1),0)</f>
        <v>0</v>
      </c>
      <c r="AF86" s="212">
        <f t="shared" si="35"/>
        <v>0</v>
      </c>
      <c r="AG86" s="212">
        <f t="shared" si="36"/>
        <v>0</v>
      </c>
      <c r="AH86" s="212">
        <f t="shared" si="37"/>
        <v>0</v>
      </c>
      <c r="AI86" s="212">
        <f t="shared" si="38"/>
        <v>0</v>
      </c>
      <c r="AJ86" s="212">
        <f t="shared" si="39"/>
        <v>0</v>
      </c>
      <c r="AK86" s="212" t="str">
        <f t="shared" si="40"/>
        <v/>
      </c>
      <c r="AL86" s="212">
        <f t="shared" si="41"/>
        <v>0</v>
      </c>
      <c r="AM86" s="212" t="str">
        <f>IFERROR(VLOOKUP($N86,マスタ!$T$4:$AE$51,12,TRUE),"")</f>
        <v/>
      </c>
      <c r="AO86" s="212" t="str">
        <f t="shared" ca="1" si="42"/>
        <v/>
      </c>
      <c r="AP86" s="212" t="str">
        <f t="shared" ca="1" si="43"/>
        <v/>
      </c>
      <c r="AQ86" s="212" t="str">
        <f t="shared" ca="1" si="44"/>
        <v/>
      </c>
      <c r="AR86" s="212" t="str">
        <f t="shared" ca="1" si="28"/>
        <v/>
      </c>
      <c r="AS86" s="212" t="str">
        <f t="shared" ca="1" si="45"/>
        <v/>
      </c>
      <c r="AT86" s="212" t="str">
        <f t="shared" ca="1" si="46"/>
        <v/>
      </c>
      <c r="AU86" s="212" t="str">
        <f t="shared" ca="1" si="47"/>
        <v/>
      </c>
      <c r="AV86" s="212" t="str">
        <f t="shared" ca="1" si="48"/>
        <v/>
      </c>
      <c r="AX86" s="212">
        <f t="shared" si="49"/>
        <v>0</v>
      </c>
      <c r="AY86" s="212">
        <f t="shared" si="50"/>
        <v>79</v>
      </c>
      <c r="AZ86" s="212" t="str">
        <f t="shared" ca="1" si="51"/>
        <v/>
      </c>
      <c r="BA86" s="212" t="str">
        <f t="shared" si="29"/>
        <v/>
      </c>
      <c r="BB86" s="212" t="str">
        <f t="shared" si="52"/>
        <v/>
      </c>
      <c r="BC86" s="212" t="str">
        <f t="shared" ca="1" si="30"/>
        <v/>
      </c>
    </row>
    <row r="87" spans="1:55" ht="24" customHeight="1" x14ac:dyDescent="0.15">
      <c r="A87" s="234">
        <v>80</v>
      </c>
      <c r="B87" s="235" t="str">
        <f>IF($C87&lt;&gt;"",VLOOKUP($N87,マスタ!$H$4:$K$51,3,TRUE),"")</f>
        <v/>
      </c>
      <c r="C87" s="236"/>
      <c r="D87" s="236"/>
      <c r="E87" s="236"/>
      <c r="F87" s="237" t="str">
        <f>IF($R87&lt;&gt;"",IF(VLOOKUP($R87,選手登録!$A$8:$H$57,8,FALSE)&lt;&gt;"",VLOOKUP($R87,選手登録!$A$8:$H$57,8,FALSE),団体登録!$B$7),"")</f>
        <v/>
      </c>
      <c r="G87" s="238"/>
      <c r="H87" s="333" t="str">
        <f t="shared" si="31"/>
        <v/>
      </c>
      <c r="I87" s="239"/>
      <c r="J87" s="233" t="str">
        <f>IF($AC87&gt;0,リスト!$Y$22,IF($AD87=1,リスト!$Y$21,IF($AD87=2,リスト!$Y$23,IF($AE87&gt;0,リスト!$Y$18,IF($AF87&gt;0,リスト!$Y$19,IF($AG87&gt;0,リスト!$Y$20,IF($AH87&gt;0,リスト!$Y$24,IF($AI87&gt;0,リスト!$Y$25,IF($AJ87&gt;0,リスト!$Y$26,"")))))))))</f>
        <v/>
      </c>
      <c r="K87" s="211" t="s">
        <v>149</v>
      </c>
      <c r="M87" s="212">
        <f t="shared" si="32"/>
        <v>80</v>
      </c>
      <c r="N87" s="212" t="str">
        <f>IF($C87&lt;&gt;"",VLOOKUP($C87,マスタ!$L$4:$U$51,9,FALSE),"")</f>
        <v/>
      </c>
      <c r="O87" s="212" t="str">
        <f>IF($C87&lt;&gt;"",VLOOKUP($N87,マスタ!$H$4:$I$51,2,TRUE),"")</f>
        <v/>
      </c>
      <c r="P87" s="212" t="str">
        <f>IF($N87&lt;&gt;"",VLOOKUP($N87,マスタ!$T$4:$W$51,3,FALSE),"")</f>
        <v/>
      </c>
      <c r="Q87" s="212" t="str">
        <f>IF($N87&lt;&gt;"",VLOOKUP($N87,マスタ!$T$4:$W$51,4,FALSE),"")</f>
        <v/>
      </c>
      <c r="R87" s="212" t="str">
        <f>IF($D87&lt;&gt;"",VLOOKUP($D87,選手登録!$N$8:$P$57,3,FALSE),"")</f>
        <v/>
      </c>
      <c r="S87" s="212" t="str">
        <f>IF($R87&lt;&gt;"",VLOOKUP($R87,選手登録!$M$8:$V$57,6,FALSE),"")</f>
        <v/>
      </c>
      <c r="T87" s="212" t="str">
        <f>IF($R87&lt;&gt;"",VLOOKUP($R87,選手登録!$M$8:$V$57,7,FALSE),"")</f>
        <v/>
      </c>
      <c r="U87" s="212" t="str">
        <f>IF($R87&lt;&gt;"",IF(VLOOKUP($R87,選手登録!$M$8:$U$57,9,FALSE)&lt;&gt;"",1,0),"")</f>
        <v/>
      </c>
      <c r="V87" s="212" t="str">
        <f>IF($E87&lt;&gt;"",VLOOKUP($E87,馬匹登録!$L$8:$N$57,3,FALSE),"")</f>
        <v/>
      </c>
      <c r="W87" s="212" t="str">
        <f>IF($V87&lt;&gt;"",IF(VLOOKUP($V87,馬匹登録!$N$8:$O$57,2,FALSE)&lt;&gt;"",1,0),"")</f>
        <v/>
      </c>
      <c r="X87" s="212" t="str">
        <f>IF($V87&lt;&gt;"",IF(VLOOKUP($V87,馬匹登録!$N$8:$Q$57,3,FALSE)&lt;&gt;"",1,0),"")</f>
        <v/>
      </c>
      <c r="Y87" s="212" t="str">
        <f>IF($V87&lt;&gt;"",IF(VLOOKUP($V87,馬匹登録!$N$8:$Q$57,4,FALSE)&lt;&gt;"",1,0),"")</f>
        <v/>
      </c>
      <c r="Z87" s="212" t="str">
        <f>IF($G87&lt;&gt;"",VLOOKUP($G87,リスト!$J$2:$K$5,2,FALSE),"")</f>
        <v/>
      </c>
      <c r="AA87" s="212" t="str">
        <f>IF($E87&lt;&gt;"",IFERROR(VLOOKUP($N87,マスタ!$H$4:$R$51,7+VLOOKUP($G87,リスト!$J$2:$K$5,2,FALSE),FALSE),"-"),"")</f>
        <v/>
      </c>
      <c r="AB87" s="212" t="str">
        <f t="shared" si="33"/>
        <v/>
      </c>
      <c r="AC87" s="212">
        <f>IF($AC$6=1,IFERROR(IF(AND($N87&lt;&gt;"",$R87&lt;&gt;""),IF(VLOOKUP($N87,マスタ!$T$4:$AC$51,4+$S87,FALSE)=0,1,0),0),1),0)</f>
        <v>0</v>
      </c>
      <c r="AD87" s="212">
        <f t="shared" si="34"/>
        <v>0</v>
      </c>
      <c r="AE87" s="212">
        <f>IF($AE$6=1,IFERROR(IF($G87="社馬連",IF(IFERROR(VLOOKUP($F87,リスト!$F$10:$H$51,2,FALSE),2)&lt;&gt;0,1,0),0),1),0)</f>
        <v>0</v>
      </c>
      <c r="AF87" s="212">
        <f t="shared" si="35"/>
        <v>0</v>
      </c>
      <c r="AG87" s="212">
        <f t="shared" si="36"/>
        <v>0</v>
      </c>
      <c r="AH87" s="212">
        <f t="shared" si="37"/>
        <v>0</v>
      </c>
      <c r="AI87" s="212">
        <f t="shared" si="38"/>
        <v>0</v>
      </c>
      <c r="AJ87" s="212">
        <f t="shared" si="39"/>
        <v>0</v>
      </c>
      <c r="AK87" s="212" t="str">
        <f t="shared" si="40"/>
        <v/>
      </c>
      <c r="AL87" s="212">
        <f t="shared" si="41"/>
        <v>0</v>
      </c>
      <c r="AM87" s="212" t="str">
        <f>IFERROR(VLOOKUP($N87,マスタ!$T$4:$AE$51,12,TRUE),"")</f>
        <v/>
      </c>
      <c r="AO87" s="212" t="str">
        <f t="shared" ca="1" si="42"/>
        <v/>
      </c>
      <c r="AP87" s="212" t="str">
        <f t="shared" ca="1" si="43"/>
        <v/>
      </c>
      <c r="AQ87" s="212" t="str">
        <f t="shared" ca="1" si="44"/>
        <v/>
      </c>
      <c r="AR87" s="212" t="str">
        <f t="shared" ca="1" si="28"/>
        <v/>
      </c>
      <c r="AS87" s="212" t="str">
        <f t="shared" ca="1" si="45"/>
        <v/>
      </c>
      <c r="AT87" s="212" t="str">
        <f t="shared" ca="1" si="46"/>
        <v/>
      </c>
      <c r="AU87" s="212" t="str">
        <f t="shared" ca="1" si="47"/>
        <v/>
      </c>
      <c r="AV87" s="212" t="str">
        <f t="shared" ca="1" si="48"/>
        <v/>
      </c>
      <c r="AX87" s="212">
        <f t="shared" si="49"/>
        <v>0</v>
      </c>
      <c r="AY87" s="212">
        <f t="shared" si="50"/>
        <v>80</v>
      </c>
      <c r="AZ87" s="212" t="str">
        <f t="shared" ca="1" si="51"/>
        <v/>
      </c>
      <c r="BA87" s="212" t="str">
        <f t="shared" si="29"/>
        <v/>
      </c>
      <c r="BB87" s="212" t="str">
        <f t="shared" si="52"/>
        <v/>
      </c>
      <c r="BC87" s="212" t="str">
        <f t="shared" ca="1" si="30"/>
        <v/>
      </c>
    </row>
    <row r="88" spans="1:55" ht="24" customHeight="1" x14ac:dyDescent="0.15">
      <c r="A88" s="234">
        <v>81</v>
      </c>
      <c r="B88" s="235" t="str">
        <f>IF($C88&lt;&gt;"",VLOOKUP($N88,マスタ!$H$4:$K$51,3,TRUE),"")</f>
        <v/>
      </c>
      <c r="C88" s="236"/>
      <c r="D88" s="236"/>
      <c r="E88" s="236"/>
      <c r="F88" s="237" t="str">
        <f>IF($R88&lt;&gt;"",IF(VLOOKUP($R88,選手登録!$A$8:$H$57,8,FALSE)&lt;&gt;"",VLOOKUP($R88,選手登録!$A$8:$H$57,8,FALSE),団体登録!$B$7),"")</f>
        <v/>
      </c>
      <c r="G88" s="238"/>
      <c r="H88" s="333" t="str">
        <f t="shared" si="31"/>
        <v/>
      </c>
      <c r="I88" s="239"/>
      <c r="J88" s="233" t="str">
        <f>IF($AC88&gt;0,リスト!$Y$22,IF($AD88=1,リスト!$Y$21,IF($AD88=2,リスト!$Y$23,IF($AE88&gt;0,リスト!$Y$18,IF($AF88&gt;0,リスト!$Y$19,IF($AG88&gt;0,リスト!$Y$20,IF($AH88&gt;0,リスト!$Y$24,IF($AI88&gt;0,リスト!$Y$25,IF($AJ88&gt;0,リスト!$Y$26,"")))))))))</f>
        <v/>
      </c>
      <c r="K88" s="211" t="s">
        <v>149</v>
      </c>
      <c r="M88" s="212">
        <f t="shared" si="32"/>
        <v>81</v>
      </c>
      <c r="N88" s="212" t="str">
        <f>IF($C88&lt;&gt;"",VLOOKUP($C88,マスタ!$L$4:$U$51,9,FALSE),"")</f>
        <v/>
      </c>
      <c r="O88" s="212" t="str">
        <f>IF($C88&lt;&gt;"",VLOOKUP($N88,マスタ!$H$4:$I$51,2,TRUE),"")</f>
        <v/>
      </c>
      <c r="P88" s="212" t="str">
        <f>IF($N88&lt;&gt;"",VLOOKUP($N88,マスタ!$T$4:$W$51,3,FALSE),"")</f>
        <v/>
      </c>
      <c r="Q88" s="212" t="str">
        <f>IF($N88&lt;&gt;"",VLOOKUP($N88,マスタ!$T$4:$W$51,4,FALSE),"")</f>
        <v/>
      </c>
      <c r="R88" s="212" t="str">
        <f>IF($D88&lt;&gt;"",VLOOKUP($D88,選手登録!$N$8:$P$57,3,FALSE),"")</f>
        <v/>
      </c>
      <c r="S88" s="212" t="str">
        <f>IF($R88&lt;&gt;"",VLOOKUP($R88,選手登録!$M$8:$V$57,6,FALSE),"")</f>
        <v/>
      </c>
      <c r="T88" s="212" t="str">
        <f>IF($R88&lt;&gt;"",VLOOKUP($R88,選手登録!$M$8:$V$57,7,FALSE),"")</f>
        <v/>
      </c>
      <c r="U88" s="212" t="str">
        <f>IF($R88&lt;&gt;"",IF(VLOOKUP($R88,選手登録!$M$8:$U$57,9,FALSE)&lt;&gt;"",1,0),"")</f>
        <v/>
      </c>
      <c r="V88" s="212" t="str">
        <f>IF($E88&lt;&gt;"",VLOOKUP($E88,馬匹登録!$L$8:$N$57,3,FALSE),"")</f>
        <v/>
      </c>
      <c r="W88" s="212" t="str">
        <f>IF($V88&lt;&gt;"",IF(VLOOKUP($V88,馬匹登録!$N$8:$O$57,2,FALSE)&lt;&gt;"",1,0),"")</f>
        <v/>
      </c>
      <c r="X88" s="212" t="str">
        <f>IF($V88&lt;&gt;"",IF(VLOOKUP($V88,馬匹登録!$N$8:$Q$57,3,FALSE)&lt;&gt;"",1,0),"")</f>
        <v/>
      </c>
      <c r="Y88" s="212" t="str">
        <f>IF($V88&lt;&gt;"",IF(VLOOKUP($V88,馬匹登録!$N$8:$Q$57,4,FALSE)&lt;&gt;"",1,0),"")</f>
        <v/>
      </c>
      <c r="Z88" s="212" t="str">
        <f>IF($G88&lt;&gt;"",VLOOKUP($G88,リスト!$J$2:$K$5,2,FALSE),"")</f>
        <v/>
      </c>
      <c r="AA88" s="212" t="str">
        <f>IF($E88&lt;&gt;"",IFERROR(VLOOKUP($N88,マスタ!$H$4:$R$51,7+VLOOKUP($G88,リスト!$J$2:$K$5,2,FALSE),FALSE),"-"),"")</f>
        <v/>
      </c>
      <c r="AB88" s="212" t="str">
        <f t="shared" si="33"/>
        <v/>
      </c>
      <c r="AC88" s="212">
        <f>IF($AC$6=1,IFERROR(IF(AND($N88&lt;&gt;"",$R88&lt;&gt;""),IF(VLOOKUP($N88,マスタ!$T$4:$AC$51,4+$S88,FALSE)=0,1,0),0),1),0)</f>
        <v>0</v>
      </c>
      <c r="AD88" s="212">
        <f t="shared" si="34"/>
        <v>0</v>
      </c>
      <c r="AE88" s="212">
        <f>IF($AE$6=1,IFERROR(IF($G88="社馬連",IF(IFERROR(VLOOKUP($F88,リスト!$F$10:$H$51,2,FALSE),2)&lt;&gt;0,1,0),0),1),0)</f>
        <v>0</v>
      </c>
      <c r="AF88" s="212">
        <f t="shared" si="35"/>
        <v>0</v>
      </c>
      <c r="AG88" s="212">
        <f t="shared" si="36"/>
        <v>0</v>
      </c>
      <c r="AH88" s="212">
        <f t="shared" si="37"/>
        <v>0</v>
      </c>
      <c r="AI88" s="212">
        <f t="shared" si="38"/>
        <v>0</v>
      </c>
      <c r="AJ88" s="212">
        <f t="shared" si="39"/>
        <v>0</v>
      </c>
      <c r="AK88" s="212" t="str">
        <f t="shared" si="40"/>
        <v/>
      </c>
      <c r="AL88" s="212">
        <f t="shared" si="41"/>
        <v>0</v>
      </c>
      <c r="AM88" s="212" t="str">
        <f>IFERROR(VLOOKUP($N88,マスタ!$T$4:$AE$51,12,TRUE),"")</f>
        <v/>
      </c>
      <c r="AO88" s="212" t="str">
        <f t="shared" ca="1" si="42"/>
        <v/>
      </c>
      <c r="AP88" s="212" t="str">
        <f t="shared" ca="1" si="43"/>
        <v/>
      </c>
      <c r="AQ88" s="212" t="str">
        <f t="shared" ca="1" si="44"/>
        <v/>
      </c>
      <c r="AR88" s="212" t="str">
        <f t="shared" ca="1" si="28"/>
        <v/>
      </c>
      <c r="AS88" s="212" t="str">
        <f t="shared" ca="1" si="45"/>
        <v/>
      </c>
      <c r="AT88" s="212" t="str">
        <f t="shared" ca="1" si="46"/>
        <v/>
      </c>
      <c r="AU88" s="212" t="str">
        <f t="shared" ca="1" si="47"/>
        <v/>
      </c>
      <c r="AV88" s="212" t="str">
        <f t="shared" ca="1" si="48"/>
        <v/>
      </c>
      <c r="AX88" s="212">
        <f t="shared" si="49"/>
        <v>0</v>
      </c>
      <c r="AY88" s="212">
        <f t="shared" si="50"/>
        <v>81</v>
      </c>
      <c r="AZ88" s="212" t="str">
        <f t="shared" ca="1" si="51"/>
        <v/>
      </c>
      <c r="BA88" s="212" t="str">
        <f t="shared" si="29"/>
        <v/>
      </c>
      <c r="BB88" s="212" t="str">
        <f t="shared" si="52"/>
        <v/>
      </c>
      <c r="BC88" s="212" t="str">
        <f t="shared" ca="1" si="30"/>
        <v/>
      </c>
    </row>
    <row r="89" spans="1:55" ht="24" customHeight="1" x14ac:dyDescent="0.15">
      <c r="A89" s="234">
        <v>82</v>
      </c>
      <c r="B89" s="235" t="str">
        <f>IF($C89&lt;&gt;"",VLOOKUP($N89,マスタ!$H$4:$K$51,3,TRUE),"")</f>
        <v/>
      </c>
      <c r="C89" s="236"/>
      <c r="D89" s="236"/>
      <c r="E89" s="236"/>
      <c r="F89" s="237" t="str">
        <f>IF($R89&lt;&gt;"",IF(VLOOKUP($R89,選手登録!$A$8:$H$57,8,FALSE)&lt;&gt;"",VLOOKUP($R89,選手登録!$A$8:$H$57,8,FALSE),団体登録!$B$7),"")</f>
        <v/>
      </c>
      <c r="G89" s="238"/>
      <c r="H89" s="333" t="str">
        <f t="shared" si="31"/>
        <v/>
      </c>
      <c r="I89" s="239"/>
      <c r="J89" s="233" t="str">
        <f>IF($AC89&gt;0,リスト!$Y$22,IF($AD89=1,リスト!$Y$21,IF($AD89=2,リスト!$Y$23,IF($AE89&gt;0,リスト!$Y$18,IF($AF89&gt;0,リスト!$Y$19,IF($AG89&gt;0,リスト!$Y$20,IF($AH89&gt;0,リスト!$Y$24,IF($AI89&gt;0,リスト!$Y$25,IF($AJ89&gt;0,リスト!$Y$26,"")))))))))</f>
        <v/>
      </c>
      <c r="K89" s="211" t="s">
        <v>149</v>
      </c>
      <c r="M89" s="212">
        <f t="shared" si="32"/>
        <v>82</v>
      </c>
      <c r="N89" s="212" t="str">
        <f>IF($C89&lt;&gt;"",VLOOKUP($C89,マスタ!$L$4:$U$51,9,FALSE),"")</f>
        <v/>
      </c>
      <c r="O89" s="212" t="str">
        <f>IF($C89&lt;&gt;"",VLOOKUP($N89,マスタ!$H$4:$I$51,2,TRUE),"")</f>
        <v/>
      </c>
      <c r="P89" s="212" t="str">
        <f>IF($N89&lt;&gt;"",VLOOKUP($N89,マスタ!$T$4:$W$51,3,FALSE),"")</f>
        <v/>
      </c>
      <c r="Q89" s="212" t="str">
        <f>IF($N89&lt;&gt;"",VLOOKUP($N89,マスタ!$T$4:$W$51,4,FALSE),"")</f>
        <v/>
      </c>
      <c r="R89" s="212" t="str">
        <f>IF($D89&lt;&gt;"",VLOOKUP($D89,選手登録!$N$8:$P$57,3,FALSE),"")</f>
        <v/>
      </c>
      <c r="S89" s="212" t="str">
        <f>IF($R89&lt;&gt;"",VLOOKUP($R89,選手登録!$M$8:$V$57,6,FALSE),"")</f>
        <v/>
      </c>
      <c r="T89" s="212" t="str">
        <f>IF($R89&lt;&gt;"",VLOOKUP($R89,選手登録!$M$8:$V$57,7,FALSE),"")</f>
        <v/>
      </c>
      <c r="U89" s="212" t="str">
        <f>IF($R89&lt;&gt;"",IF(VLOOKUP($R89,選手登録!$M$8:$U$57,9,FALSE)&lt;&gt;"",1,0),"")</f>
        <v/>
      </c>
      <c r="V89" s="212" t="str">
        <f>IF($E89&lt;&gt;"",VLOOKUP($E89,馬匹登録!$L$8:$N$57,3,FALSE),"")</f>
        <v/>
      </c>
      <c r="W89" s="212" t="str">
        <f>IF($V89&lt;&gt;"",IF(VLOOKUP($V89,馬匹登録!$N$8:$O$57,2,FALSE)&lt;&gt;"",1,0),"")</f>
        <v/>
      </c>
      <c r="X89" s="212" t="str">
        <f>IF($V89&lt;&gt;"",IF(VLOOKUP($V89,馬匹登録!$N$8:$Q$57,3,FALSE)&lt;&gt;"",1,0),"")</f>
        <v/>
      </c>
      <c r="Y89" s="212" t="str">
        <f>IF($V89&lt;&gt;"",IF(VLOOKUP($V89,馬匹登録!$N$8:$Q$57,4,FALSE)&lt;&gt;"",1,0),"")</f>
        <v/>
      </c>
      <c r="Z89" s="212" t="str">
        <f>IF($G89&lt;&gt;"",VLOOKUP($G89,リスト!$J$2:$K$5,2,FALSE),"")</f>
        <v/>
      </c>
      <c r="AA89" s="212" t="str">
        <f>IF($E89&lt;&gt;"",IFERROR(VLOOKUP($N89,マスタ!$H$4:$R$51,7+VLOOKUP($G89,リスト!$J$2:$K$5,2,FALSE),FALSE),"-"),"")</f>
        <v/>
      </c>
      <c r="AB89" s="212" t="str">
        <f t="shared" si="33"/>
        <v/>
      </c>
      <c r="AC89" s="212">
        <f>IF($AC$6=1,IFERROR(IF(AND($N89&lt;&gt;"",$R89&lt;&gt;""),IF(VLOOKUP($N89,マスタ!$T$4:$AC$51,4+$S89,FALSE)=0,1,0),0),1),0)</f>
        <v>0</v>
      </c>
      <c r="AD89" s="212">
        <f t="shared" si="34"/>
        <v>0</v>
      </c>
      <c r="AE89" s="212">
        <f>IF($AE$6=1,IFERROR(IF($G89="社馬連",IF(IFERROR(VLOOKUP($F89,リスト!$F$10:$H$51,2,FALSE),2)&lt;&gt;0,1,0),0),1),0)</f>
        <v>0</v>
      </c>
      <c r="AF89" s="212">
        <f t="shared" si="35"/>
        <v>0</v>
      </c>
      <c r="AG89" s="212">
        <f t="shared" si="36"/>
        <v>0</v>
      </c>
      <c r="AH89" s="212">
        <f t="shared" si="37"/>
        <v>0</v>
      </c>
      <c r="AI89" s="212">
        <f t="shared" si="38"/>
        <v>0</v>
      </c>
      <c r="AJ89" s="212">
        <f t="shared" si="39"/>
        <v>0</v>
      </c>
      <c r="AK89" s="212" t="str">
        <f t="shared" si="40"/>
        <v/>
      </c>
      <c r="AL89" s="212">
        <f t="shared" si="41"/>
        <v>0</v>
      </c>
      <c r="AM89" s="212" t="str">
        <f>IFERROR(VLOOKUP($N89,マスタ!$T$4:$AE$51,12,TRUE),"")</f>
        <v/>
      </c>
      <c r="AO89" s="212" t="str">
        <f t="shared" ca="1" si="42"/>
        <v/>
      </c>
      <c r="AP89" s="212" t="str">
        <f t="shared" ca="1" si="43"/>
        <v/>
      </c>
      <c r="AQ89" s="212" t="str">
        <f t="shared" ca="1" si="44"/>
        <v/>
      </c>
      <c r="AR89" s="212" t="str">
        <f t="shared" ca="1" si="28"/>
        <v/>
      </c>
      <c r="AS89" s="212" t="str">
        <f t="shared" ca="1" si="45"/>
        <v/>
      </c>
      <c r="AT89" s="212" t="str">
        <f t="shared" ca="1" si="46"/>
        <v/>
      </c>
      <c r="AU89" s="212" t="str">
        <f t="shared" ca="1" si="47"/>
        <v/>
      </c>
      <c r="AV89" s="212" t="str">
        <f t="shared" ca="1" si="48"/>
        <v/>
      </c>
      <c r="AX89" s="212">
        <f t="shared" si="49"/>
        <v>0</v>
      </c>
      <c r="AY89" s="212">
        <f t="shared" si="50"/>
        <v>82</v>
      </c>
      <c r="AZ89" s="212" t="str">
        <f t="shared" ca="1" si="51"/>
        <v/>
      </c>
      <c r="BA89" s="212" t="str">
        <f t="shared" si="29"/>
        <v/>
      </c>
      <c r="BB89" s="212" t="str">
        <f t="shared" si="52"/>
        <v/>
      </c>
      <c r="BC89" s="212" t="str">
        <f t="shared" ca="1" si="30"/>
        <v/>
      </c>
    </row>
    <row r="90" spans="1:55" ht="24" customHeight="1" x14ac:dyDescent="0.15">
      <c r="A90" s="234">
        <v>83</v>
      </c>
      <c r="B90" s="235" t="str">
        <f>IF($C90&lt;&gt;"",VLOOKUP($N90,マスタ!$H$4:$K$51,3,TRUE),"")</f>
        <v/>
      </c>
      <c r="C90" s="236"/>
      <c r="D90" s="236"/>
      <c r="E90" s="236"/>
      <c r="F90" s="237" t="str">
        <f>IF($R90&lt;&gt;"",IF(VLOOKUP($R90,選手登録!$A$8:$H$57,8,FALSE)&lt;&gt;"",VLOOKUP($R90,選手登録!$A$8:$H$57,8,FALSE),団体登録!$B$7),"")</f>
        <v/>
      </c>
      <c r="G90" s="238"/>
      <c r="H90" s="333" t="str">
        <f t="shared" si="31"/>
        <v/>
      </c>
      <c r="I90" s="239"/>
      <c r="J90" s="233" t="str">
        <f>IF($AC90&gt;0,リスト!$Y$22,IF($AD90=1,リスト!$Y$21,IF($AD90=2,リスト!$Y$23,IF($AE90&gt;0,リスト!$Y$18,IF($AF90&gt;0,リスト!$Y$19,IF($AG90&gt;0,リスト!$Y$20,IF($AH90&gt;0,リスト!$Y$24,IF($AI90&gt;0,リスト!$Y$25,IF($AJ90&gt;0,リスト!$Y$26,"")))))))))</f>
        <v/>
      </c>
      <c r="K90" s="211" t="s">
        <v>149</v>
      </c>
      <c r="M90" s="212">
        <f t="shared" si="32"/>
        <v>83</v>
      </c>
      <c r="N90" s="212" t="str">
        <f>IF($C90&lt;&gt;"",VLOOKUP($C90,マスタ!$L$4:$U$51,9,FALSE),"")</f>
        <v/>
      </c>
      <c r="O90" s="212" t="str">
        <f>IF($C90&lt;&gt;"",VLOOKUP($N90,マスタ!$H$4:$I$51,2,TRUE),"")</f>
        <v/>
      </c>
      <c r="P90" s="212" t="str">
        <f>IF($N90&lt;&gt;"",VLOOKUP($N90,マスタ!$T$4:$W$51,3,FALSE),"")</f>
        <v/>
      </c>
      <c r="Q90" s="212" t="str">
        <f>IF($N90&lt;&gt;"",VLOOKUP($N90,マスタ!$T$4:$W$51,4,FALSE),"")</f>
        <v/>
      </c>
      <c r="R90" s="212" t="str">
        <f>IF($D90&lt;&gt;"",VLOOKUP($D90,選手登録!$N$8:$P$57,3,FALSE),"")</f>
        <v/>
      </c>
      <c r="S90" s="212" t="str">
        <f>IF($R90&lt;&gt;"",VLOOKUP($R90,選手登録!$M$8:$V$57,6,FALSE),"")</f>
        <v/>
      </c>
      <c r="T90" s="212" t="str">
        <f>IF($R90&lt;&gt;"",VLOOKUP($R90,選手登録!$M$8:$V$57,7,FALSE),"")</f>
        <v/>
      </c>
      <c r="U90" s="212" t="str">
        <f>IF($R90&lt;&gt;"",IF(VLOOKUP($R90,選手登録!$M$8:$U$57,9,FALSE)&lt;&gt;"",1,0),"")</f>
        <v/>
      </c>
      <c r="V90" s="212" t="str">
        <f>IF($E90&lt;&gt;"",VLOOKUP($E90,馬匹登録!$L$8:$N$57,3,FALSE),"")</f>
        <v/>
      </c>
      <c r="W90" s="212" t="str">
        <f>IF($V90&lt;&gt;"",IF(VLOOKUP($V90,馬匹登録!$N$8:$O$57,2,FALSE)&lt;&gt;"",1,0),"")</f>
        <v/>
      </c>
      <c r="X90" s="212" t="str">
        <f>IF($V90&lt;&gt;"",IF(VLOOKUP($V90,馬匹登録!$N$8:$Q$57,3,FALSE)&lt;&gt;"",1,0),"")</f>
        <v/>
      </c>
      <c r="Y90" s="212" t="str">
        <f>IF($V90&lt;&gt;"",IF(VLOOKUP($V90,馬匹登録!$N$8:$Q$57,4,FALSE)&lt;&gt;"",1,0),"")</f>
        <v/>
      </c>
      <c r="Z90" s="212" t="str">
        <f>IF($G90&lt;&gt;"",VLOOKUP($G90,リスト!$J$2:$K$5,2,FALSE),"")</f>
        <v/>
      </c>
      <c r="AA90" s="212" t="str">
        <f>IF($E90&lt;&gt;"",IFERROR(VLOOKUP($N90,マスタ!$H$4:$R$51,7+VLOOKUP($G90,リスト!$J$2:$K$5,2,FALSE),FALSE),"-"),"")</f>
        <v/>
      </c>
      <c r="AB90" s="212" t="str">
        <f t="shared" si="33"/>
        <v/>
      </c>
      <c r="AC90" s="212">
        <f>IF($AC$6=1,IFERROR(IF(AND($N90&lt;&gt;"",$R90&lt;&gt;""),IF(VLOOKUP($N90,マスタ!$T$4:$AC$51,4+$S90,FALSE)=0,1,0),0),1),0)</f>
        <v>0</v>
      </c>
      <c r="AD90" s="212">
        <f t="shared" si="34"/>
        <v>0</v>
      </c>
      <c r="AE90" s="212">
        <f>IF($AE$6=1,IFERROR(IF($G90="社馬連",IF(IFERROR(VLOOKUP($F90,リスト!$F$10:$H$51,2,FALSE),2)&lt;&gt;0,1,0),0),1),0)</f>
        <v>0</v>
      </c>
      <c r="AF90" s="212">
        <f t="shared" si="35"/>
        <v>0</v>
      </c>
      <c r="AG90" s="212">
        <f t="shared" si="36"/>
        <v>0</v>
      </c>
      <c r="AH90" s="212">
        <f t="shared" si="37"/>
        <v>0</v>
      </c>
      <c r="AI90" s="212">
        <f t="shared" si="38"/>
        <v>0</v>
      </c>
      <c r="AJ90" s="212">
        <f t="shared" si="39"/>
        <v>0</v>
      </c>
      <c r="AK90" s="212" t="str">
        <f t="shared" si="40"/>
        <v/>
      </c>
      <c r="AL90" s="212">
        <f t="shared" si="41"/>
        <v>0</v>
      </c>
      <c r="AM90" s="212" t="str">
        <f>IFERROR(VLOOKUP($N90,マスタ!$T$4:$AE$51,12,TRUE),"")</f>
        <v/>
      </c>
      <c r="AO90" s="212" t="str">
        <f t="shared" ca="1" si="42"/>
        <v/>
      </c>
      <c r="AP90" s="212" t="str">
        <f t="shared" ca="1" si="43"/>
        <v/>
      </c>
      <c r="AQ90" s="212" t="str">
        <f t="shared" ca="1" si="44"/>
        <v/>
      </c>
      <c r="AR90" s="212" t="str">
        <f t="shared" ca="1" si="28"/>
        <v/>
      </c>
      <c r="AS90" s="212" t="str">
        <f t="shared" ca="1" si="45"/>
        <v/>
      </c>
      <c r="AT90" s="212" t="str">
        <f t="shared" ca="1" si="46"/>
        <v/>
      </c>
      <c r="AU90" s="212" t="str">
        <f t="shared" ca="1" si="47"/>
        <v/>
      </c>
      <c r="AV90" s="212" t="str">
        <f t="shared" ca="1" si="48"/>
        <v/>
      </c>
      <c r="AX90" s="212">
        <f t="shared" si="49"/>
        <v>0</v>
      </c>
      <c r="AY90" s="212">
        <f t="shared" si="50"/>
        <v>83</v>
      </c>
      <c r="AZ90" s="212" t="str">
        <f t="shared" ca="1" si="51"/>
        <v/>
      </c>
      <c r="BA90" s="212" t="str">
        <f t="shared" si="29"/>
        <v/>
      </c>
      <c r="BB90" s="212" t="str">
        <f t="shared" si="52"/>
        <v/>
      </c>
      <c r="BC90" s="212" t="str">
        <f t="shared" ca="1" si="30"/>
        <v/>
      </c>
    </row>
    <row r="91" spans="1:55" ht="24" customHeight="1" x14ac:dyDescent="0.15">
      <c r="A91" s="234">
        <v>84</v>
      </c>
      <c r="B91" s="235" t="str">
        <f>IF($C91&lt;&gt;"",VLOOKUP($N91,マスタ!$H$4:$K$51,3,TRUE),"")</f>
        <v/>
      </c>
      <c r="C91" s="236"/>
      <c r="D91" s="236"/>
      <c r="E91" s="236"/>
      <c r="F91" s="237" t="str">
        <f>IF($R91&lt;&gt;"",IF(VLOOKUP($R91,選手登録!$A$8:$H$57,8,FALSE)&lt;&gt;"",VLOOKUP($R91,選手登録!$A$8:$H$57,8,FALSE),団体登録!$B$7),"")</f>
        <v/>
      </c>
      <c r="G91" s="238"/>
      <c r="H91" s="333" t="str">
        <f t="shared" si="31"/>
        <v/>
      </c>
      <c r="I91" s="239"/>
      <c r="J91" s="233" t="str">
        <f>IF($AC91&gt;0,リスト!$Y$22,IF($AD91=1,リスト!$Y$21,IF($AD91=2,リスト!$Y$23,IF($AE91&gt;0,リスト!$Y$18,IF($AF91&gt;0,リスト!$Y$19,IF($AG91&gt;0,リスト!$Y$20,IF($AH91&gt;0,リスト!$Y$24,IF($AI91&gt;0,リスト!$Y$25,IF($AJ91&gt;0,リスト!$Y$26,"")))))))))</f>
        <v/>
      </c>
      <c r="K91" s="211" t="s">
        <v>149</v>
      </c>
      <c r="M91" s="212">
        <f t="shared" si="32"/>
        <v>84</v>
      </c>
      <c r="N91" s="212" t="str">
        <f>IF($C91&lt;&gt;"",VLOOKUP($C91,マスタ!$L$4:$U$51,9,FALSE),"")</f>
        <v/>
      </c>
      <c r="O91" s="212" t="str">
        <f>IF($C91&lt;&gt;"",VLOOKUP($N91,マスタ!$H$4:$I$51,2,TRUE),"")</f>
        <v/>
      </c>
      <c r="P91" s="212" t="str">
        <f>IF($N91&lt;&gt;"",VLOOKUP($N91,マスタ!$T$4:$W$51,3,FALSE),"")</f>
        <v/>
      </c>
      <c r="Q91" s="212" t="str">
        <f>IF($N91&lt;&gt;"",VLOOKUP($N91,マスタ!$T$4:$W$51,4,FALSE),"")</f>
        <v/>
      </c>
      <c r="R91" s="212" t="str">
        <f>IF($D91&lt;&gt;"",VLOOKUP($D91,選手登録!$N$8:$P$57,3,FALSE),"")</f>
        <v/>
      </c>
      <c r="S91" s="212" t="str">
        <f>IF($R91&lt;&gt;"",VLOOKUP($R91,選手登録!$M$8:$V$57,6,FALSE),"")</f>
        <v/>
      </c>
      <c r="T91" s="212" t="str">
        <f>IF($R91&lt;&gt;"",VLOOKUP($R91,選手登録!$M$8:$V$57,7,FALSE),"")</f>
        <v/>
      </c>
      <c r="U91" s="212" t="str">
        <f>IF($R91&lt;&gt;"",IF(VLOOKUP($R91,選手登録!$M$8:$U$57,9,FALSE)&lt;&gt;"",1,0),"")</f>
        <v/>
      </c>
      <c r="V91" s="212" t="str">
        <f>IF($E91&lt;&gt;"",VLOOKUP($E91,馬匹登録!$L$8:$N$57,3,FALSE),"")</f>
        <v/>
      </c>
      <c r="W91" s="212" t="str">
        <f>IF($V91&lt;&gt;"",IF(VLOOKUP($V91,馬匹登録!$N$8:$O$57,2,FALSE)&lt;&gt;"",1,0),"")</f>
        <v/>
      </c>
      <c r="X91" s="212" t="str">
        <f>IF($V91&lt;&gt;"",IF(VLOOKUP($V91,馬匹登録!$N$8:$Q$57,3,FALSE)&lt;&gt;"",1,0),"")</f>
        <v/>
      </c>
      <c r="Y91" s="212" t="str">
        <f>IF($V91&lt;&gt;"",IF(VLOOKUP($V91,馬匹登録!$N$8:$Q$57,4,FALSE)&lt;&gt;"",1,0),"")</f>
        <v/>
      </c>
      <c r="Z91" s="212" t="str">
        <f>IF($G91&lt;&gt;"",VLOOKUP($G91,リスト!$J$2:$K$5,2,FALSE),"")</f>
        <v/>
      </c>
      <c r="AA91" s="212" t="str">
        <f>IF($E91&lt;&gt;"",IFERROR(VLOOKUP($N91,マスタ!$H$4:$R$51,7+VLOOKUP($G91,リスト!$J$2:$K$5,2,FALSE),FALSE),"-"),"")</f>
        <v/>
      </c>
      <c r="AB91" s="212" t="str">
        <f t="shared" si="33"/>
        <v/>
      </c>
      <c r="AC91" s="212">
        <f>IF($AC$6=1,IFERROR(IF(AND($N91&lt;&gt;"",$R91&lt;&gt;""),IF(VLOOKUP($N91,マスタ!$T$4:$AC$51,4+$S91,FALSE)=0,1,0),0),1),0)</f>
        <v>0</v>
      </c>
      <c r="AD91" s="212">
        <f t="shared" si="34"/>
        <v>0</v>
      </c>
      <c r="AE91" s="212">
        <f>IF($AE$6=1,IFERROR(IF($G91="社馬連",IF(IFERROR(VLOOKUP($F91,リスト!$F$10:$H$51,2,FALSE),2)&lt;&gt;0,1,0),0),1),0)</f>
        <v>0</v>
      </c>
      <c r="AF91" s="212">
        <f t="shared" si="35"/>
        <v>0</v>
      </c>
      <c r="AG91" s="212">
        <f t="shared" si="36"/>
        <v>0</v>
      </c>
      <c r="AH91" s="212">
        <f t="shared" si="37"/>
        <v>0</v>
      </c>
      <c r="AI91" s="212">
        <f t="shared" si="38"/>
        <v>0</v>
      </c>
      <c r="AJ91" s="212">
        <f t="shared" si="39"/>
        <v>0</v>
      </c>
      <c r="AK91" s="212" t="str">
        <f t="shared" si="40"/>
        <v/>
      </c>
      <c r="AL91" s="212">
        <f t="shared" si="41"/>
        <v>0</v>
      </c>
      <c r="AM91" s="212" t="str">
        <f>IFERROR(VLOOKUP($N91,マスタ!$T$4:$AE$51,12,TRUE),"")</f>
        <v/>
      </c>
      <c r="AO91" s="212" t="str">
        <f t="shared" ca="1" si="42"/>
        <v/>
      </c>
      <c r="AP91" s="212" t="str">
        <f t="shared" ca="1" si="43"/>
        <v/>
      </c>
      <c r="AQ91" s="212" t="str">
        <f t="shared" ca="1" si="44"/>
        <v/>
      </c>
      <c r="AR91" s="212" t="str">
        <f t="shared" ca="1" si="28"/>
        <v/>
      </c>
      <c r="AS91" s="212" t="str">
        <f t="shared" ca="1" si="45"/>
        <v/>
      </c>
      <c r="AT91" s="212" t="str">
        <f t="shared" ca="1" si="46"/>
        <v/>
      </c>
      <c r="AU91" s="212" t="str">
        <f t="shared" ca="1" si="47"/>
        <v/>
      </c>
      <c r="AV91" s="212" t="str">
        <f t="shared" ca="1" si="48"/>
        <v/>
      </c>
      <c r="AX91" s="212">
        <f t="shared" si="49"/>
        <v>0</v>
      </c>
      <c r="AY91" s="212">
        <f t="shared" si="50"/>
        <v>84</v>
      </c>
      <c r="AZ91" s="212" t="str">
        <f t="shared" ca="1" si="51"/>
        <v/>
      </c>
      <c r="BA91" s="212" t="str">
        <f t="shared" si="29"/>
        <v/>
      </c>
      <c r="BB91" s="212" t="str">
        <f t="shared" si="52"/>
        <v/>
      </c>
      <c r="BC91" s="212" t="str">
        <f t="shared" ca="1" si="30"/>
        <v/>
      </c>
    </row>
    <row r="92" spans="1:55" ht="24" customHeight="1" x14ac:dyDescent="0.15">
      <c r="A92" s="234">
        <v>85</v>
      </c>
      <c r="B92" s="235" t="str">
        <f>IF($C92&lt;&gt;"",VLOOKUP($N92,マスタ!$H$4:$K$51,3,TRUE),"")</f>
        <v/>
      </c>
      <c r="C92" s="236"/>
      <c r="D92" s="236"/>
      <c r="E92" s="236"/>
      <c r="F92" s="237" t="str">
        <f>IF($R92&lt;&gt;"",IF(VLOOKUP($R92,選手登録!$A$8:$H$57,8,FALSE)&lt;&gt;"",VLOOKUP($R92,選手登録!$A$8:$H$57,8,FALSE),団体登録!$B$7),"")</f>
        <v/>
      </c>
      <c r="G92" s="238"/>
      <c r="H92" s="333" t="str">
        <f t="shared" si="31"/>
        <v/>
      </c>
      <c r="I92" s="239"/>
      <c r="J92" s="233" t="str">
        <f>IF($AC92&gt;0,リスト!$Y$22,IF($AD92=1,リスト!$Y$21,IF($AD92=2,リスト!$Y$23,IF($AE92&gt;0,リスト!$Y$18,IF($AF92&gt;0,リスト!$Y$19,IF($AG92&gt;0,リスト!$Y$20,IF($AH92&gt;0,リスト!$Y$24,IF($AI92&gt;0,リスト!$Y$25,IF($AJ92&gt;0,リスト!$Y$26,"")))))))))</f>
        <v/>
      </c>
      <c r="K92" s="211" t="s">
        <v>149</v>
      </c>
      <c r="M92" s="212">
        <f t="shared" si="32"/>
        <v>85</v>
      </c>
      <c r="N92" s="212" t="str">
        <f>IF($C92&lt;&gt;"",VLOOKUP($C92,マスタ!$L$4:$U$51,9,FALSE),"")</f>
        <v/>
      </c>
      <c r="O92" s="212" t="str">
        <f>IF($C92&lt;&gt;"",VLOOKUP($N92,マスタ!$H$4:$I$51,2,TRUE),"")</f>
        <v/>
      </c>
      <c r="P92" s="212" t="str">
        <f>IF($N92&lt;&gt;"",VLOOKUP($N92,マスタ!$T$4:$W$51,3,FALSE),"")</f>
        <v/>
      </c>
      <c r="Q92" s="212" t="str">
        <f>IF($N92&lt;&gt;"",VLOOKUP($N92,マスタ!$T$4:$W$51,4,FALSE),"")</f>
        <v/>
      </c>
      <c r="R92" s="212" t="str">
        <f>IF($D92&lt;&gt;"",VLOOKUP($D92,選手登録!$N$8:$P$57,3,FALSE),"")</f>
        <v/>
      </c>
      <c r="S92" s="212" t="str">
        <f>IF($R92&lt;&gt;"",VLOOKUP($R92,選手登録!$M$8:$V$57,6,FALSE),"")</f>
        <v/>
      </c>
      <c r="T92" s="212" t="str">
        <f>IF($R92&lt;&gt;"",VLOOKUP($R92,選手登録!$M$8:$V$57,7,FALSE),"")</f>
        <v/>
      </c>
      <c r="U92" s="212" t="str">
        <f>IF($R92&lt;&gt;"",IF(VLOOKUP($R92,選手登録!$M$8:$U$57,9,FALSE)&lt;&gt;"",1,0),"")</f>
        <v/>
      </c>
      <c r="V92" s="212" t="str">
        <f>IF($E92&lt;&gt;"",VLOOKUP($E92,馬匹登録!$L$8:$N$57,3,FALSE),"")</f>
        <v/>
      </c>
      <c r="W92" s="212" t="str">
        <f>IF($V92&lt;&gt;"",IF(VLOOKUP($V92,馬匹登録!$N$8:$O$57,2,FALSE)&lt;&gt;"",1,0),"")</f>
        <v/>
      </c>
      <c r="X92" s="212" t="str">
        <f>IF($V92&lt;&gt;"",IF(VLOOKUP($V92,馬匹登録!$N$8:$Q$57,3,FALSE)&lt;&gt;"",1,0),"")</f>
        <v/>
      </c>
      <c r="Y92" s="212" t="str">
        <f>IF($V92&lt;&gt;"",IF(VLOOKUP($V92,馬匹登録!$N$8:$Q$57,4,FALSE)&lt;&gt;"",1,0),"")</f>
        <v/>
      </c>
      <c r="Z92" s="212" t="str">
        <f>IF($G92&lt;&gt;"",VLOOKUP($G92,リスト!$J$2:$K$5,2,FALSE),"")</f>
        <v/>
      </c>
      <c r="AA92" s="212" t="str">
        <f>IF($E92&lt;&gt;"",IFERROR(VLOOKUP($N92,マスタ!$H$4:$R$51,7+VLOOKUP($G92,リスト!$J$2:$K$5,2,FALSE),FALSE),"-"),"")</f>
        <v/>
      </c>
      <c r="AB92" s="212" t="str">
        <f t="shared" si="33"/>
        <v/>
      </c>
      <c r="AC92" s="212">
        <f>IF($AC$6=1,IFERROR(IF(AND($N92&lt;&gt;"",$R92&lt;&gt;""),IF(VLOOKUP($N92,マスタ!$T$4:$AC$51,4+$S92,FALSE)=0,1,0),0),1),0)</f>
        <v>0</v>
      </c>
      <c r="AD92" s="212">
        <f t="shared" si="34"/>
        <v>0</v>
      </c>
      <c r="AE92" s="212">
        <f>IF($AE$6=1,IFERROR(IF($G92="社馬連",IF(IFERROR(VLOOKUP($F92,リスト!$F$10:$H$51,2,FALSE),2)&lt;&gt;0,1,0),0),1),0)</f>
        <v>0</v>
      </c>
      <c r="AF92" s="212">
        <f t="shared" si="35"/>
        <v>0</v>
      </c>
      <c r="AG92" s="212">
        <f t="shared" si="36"/>
        <v>0</v>
      </c>
      <c r="AH92" s="212">
        <f t="shared" si="37"/>
        <v>0</v>
      </c>
      <c r="AI92" s="212">
        <f t="shared" si="38"/>
        <v>0</v>
      </c>
      <c r="AJ92" s="212">
        <f t="shared" si="39"/>
        <v>0</v>
      </c>
      <c r="AK92" s="212" t="str">
        <f t="shared" si="40"/>
        <v/>
      </c>
      <c r="AL92" s="212">
        <f t="shared" si="41"/>
        <v>0</v>
      </c>
      <c r="AM92" s="212" t="str">
        <f>IFERROR(VLOOKUP($N92,マスタ!$T$4:$AE$51,12,TRUE),"")</f>
        <v/>
      </c>
      <c r="AO92" s="212" t="str">
        <f t="shared" ca="1" si="42"/>
        <v/>
      </c>
      <c r="AP92" s="212" t="str">
        <f t="shared" ca="1" si="43"/>
        <v/>
      </c>
      <c r="AQ92" s="212" t="str">
        <f t="shared" ca="1" si="44"/>
        <v/>
      </c>
      <c r="AR92" s="212" t="str">
        <f t="shared" ca="1" si="28"/>
        <v/>
      </c>
      <c r="AS92" s="212" t="str">
        <f t="shared" ca="1" si="45"/>
        <v/>
      </c>
      <c r="AT92" s="212" t="str">
        <f t="shared" ca="1" si="46"/>
        <v/>
      </c>
      <c r="AU92" s="212" t="str">
        <f t="shared" ca="1" si="47"/>
        <v/>
      </c>
      <c r="AV92" s="212" t="str">
        <f t="shared" ca="1" si="48"/>
        <v/>
      </c>
      <c r="AX92" s="212">
        <f t="shared" si="49"/>
        <v>0</v>
      </c>
      <c r="AY92" s="212">
        <f t="shared" si="50"/>
        <v>85</v>
      </c>
      <c r="AZ92" s="212" t="str">
        <f t="shared" ca="1" si="51"/>
        <v/>
      </c>
      <c r="BA92" s="212" t="str">
        <f t="shared" si="29"/>
        <v/>
      </c>
      <c r="BB92" s="212" t="str">
        <f t="shared" si="52"/>
        <v/>
      </c>
      <c r="BC92" s="212" t="str">
        <f t="shared" ca="1" si="30"/>
        <v/>
      </c>
    </row>
    <row r="93" spans="1:55" ht="24" customHeight="1" x14ac:dyDescent="0.15">
      <c r="A93" s="234">
        <v>86</v>
      </c>
      <c r="B93" s="235" t="str">
        <f>IF($C93&lt;&gt;"",VLOOKUP($N93,マスタ!$H$4:$K$51,3,TRUE),"")</f>
        <v/>
      </c>
      <c r="C93" s="236"/>
      <c r="D93" s="236"/>
      <c r="E93" s="236"/>
      <c r="F93" s="237" t="str">
        <f>IF($R93&lt;&gt;"",IF(VLOOKUP($R93,選手登録!$A$8:$H$57,8,FALSE)&lt;&gt;"",VLOOKUP($R93,選手登録!$A$8:$H$57,8,FALSE),団体登録!$B$7),"")</f>
        <v/>
      </c>
      <c r="G93" s="238"/>
      <c r="H93" s="333" t="str">
        <f t="shared" si="31"/>
        <v/>
      </c>
      <c r="I93" s="239"/>
      <c r="J93" s="233" t="str">
        <f>IF($AC93&gt;0,リスト!$Y$22,IF($AD93=1,リスト!$Y$21,IF($AD93=2,リスト!$Y$23,IF($AE93&gt;0,リスト!$Y$18,IF($AF93&gt;0,リスト!$Y$19,IF($AG93&gt;0,リスト!$Y$20,IF($AH93&gt;0,リスト!$Y$24,IF($AI93&gt;0,リスト!$Y$25,IF($AJ93&gt;0,リスト!$Y$26,"")))))))))</f>
        <v/>
      </c>
      <c r="K93" s="211" t="s">
        <v>149</v>
      </c>
      <c r="M93" s="212">
        <f t="shared" si="32"/>
        <v>86</v>
      </c>
      <c r="N93" s="212" t="str">
        <f>IF($C93&lt;&gt;"",VLOOKUP($C93,マスタ!$L$4:$U$51,9,FALSE),"")</f>
        <v/>
      </c>
      <c r="O93" s="212" t="str">
        <f>IF($C93&lt;&gt;"",VLOOKUP($N93,マスタ!$H$4:$I$51,2,TRUE),"")</f>
        <v/>
      </c>
      <c r="P93" s="212" t="str">
        <f>IF($N93&lt;&gt;"",VLOOKUP($N93,マスタ!$T$4:$W$51,3,FALSE),"")</f>
        <v/>
      </c>
      <c r="Q93" s="212" t="str">
        <f>IF($N93&lt;&gt;"",VLOOKUP($N93,マスタ!$T$4:$W$51,4,FALSE),"")</f>
        <v/>
      </c>
      <c r="R93" s="212" t="str">
        <f>IF($D93&lt;&gt;"",VLOOKUP($D93,選手登録!$N$8:$P$57,3,FALSE),"")</f>
        <v/>
      </c>
      <c r="S93" s="212" t="str">
        <f>IF($R93&lt;&gt;"",VLOOKUP($R93,選手登録!$M$8:$V$57,6,FALSE),"")</f>
        <v/>
      </c>
      <c r="T93" s="212" t="str">
        <f>IF($R93&lt;&gt;"",VLOOKUP($R93,選手登録!$M$8:$V$57,7,FALSE),"")</f>
        <v/>
      </c>
      <c r="U93" s="212" t="str">
        <f>IF($R93&lt;&gt;"",IF(VLOOKUP($R93,選手登録!$M$8:$U$57,9,FALSE)&lt;&gt;"",1,0),"")</f>
        <v/>
      </c>
      <c r="V93" s="212" t="str">
        <f>IF($E93&lt;&gt;"",VLOOKUP($E93,馬匹登録!$L$8:$N$57,3,FALSE),"")</f>
        <v/>
      </c>
      <c r="W93" s="212" t="str">
        <f>IF($V93&lt;&gt;"",IF(VLOOKUP($V93,馬匹登録!$N$8:$O$57,2,FALSE)&lt;&gt;"",1,0),"")</f>
        <v/>
      </c>
      <c r="X93" s="212" t="str">
        <f>IF($V93&lt;&gt;"",IF(VLOOKUP($V93,馬匹登録!$N$8:$Q$57,3,FALSE)&lt;&gt;"",1,0),"")</f>
        <v/>
      </c>
      <c r="Y93" s="212" t="str">
        <f>IF($V93&lt;&gt;"",IF(VLOOKUP($V93,馬匹登録!$N$8:$Q$57,4,FALSE)&lt;&gt;"",1,0),"")</f>
        <v/>
      </c>
      <c r="Z93" s="212" t="str">
        <f>IF($G93&lt;&gt;"",VLOOKUP($G93,リスト!$J$2:$K$5,2,FALSE),"")</f>
        <v/>
      </c>
      <c r="AA93" s="212" t="str">
        <f>IF($E93&lt;&gt;"",IFERROR(VLOOKUP($N93,マスタ!$H$4:$R$51,7+VLOOKUP($G93,リスト!$J$2:$K$5,2,FALSE),FALSE),"-"),"")</f>
        <v/>
      </c>
      <c r="AB93" s="212" t="str">
        <f t="shared" si="33"/>
        <v/>
      </c>
      <c r="AC93" s="212">
        <f>IF($AC$6=1,IFERROR(IF(AND($N93&lt;&gt;"",$R93&lt;&gt;""),IF(VLOOKUP($N93,マスタ!$T$4:$AC$51,4+$S93,FALSE)=0,1,0),0),1),0)</f>
        <v>0</v>
      </c>
      <c r="AD93" s="212">
        <f t="shared" si="34"/>
        <v>0</v>
      </c>
      <c r="AE93" s="212">
        <f>IF($AE$6=1,IFERROR(IF($G93="社馬連",IF(IFERROR(VLOOKUP($F93,リスト!$F$10:$H$51,2,FALSE),2)&lt;&gt;0,1,0),0),1),0)</f>
        <v>0</v>
      </c>
      <c r="AF93" s="212">
        <f t="shared" si="35"/>
        <v>0</v>
      </c>
      <c r="AG93" s="212">
        <f t="shared" si="36"/>
        <v>0</v>
      </c>
      <c r="AH93" s="212">
        <f t="shared" si="37"/>
        <v>0</v>
      </c>
      <c r="AI93" s="212">
        <f t="shared" si="38"/>
        <v>0</v>
      </c>
      <c r="AJ93" s="212">
        <f t="shared" si="39"/>
        <v>0</v>
      </c>
      <c r="AK93" s="212" t="str">
        <f t="shared" si="40"/>
        <v/>
      </c>
      <c r="AL93" s="212">
        <f t="shared" si="41"/>
        <v>0</v>
      </c>
      <c r="AM93" s="212" t="str">
        <f>IFERROR(VLOOKUP($N93,マスタ!$T$4:$AE$51,12,TRUE),"")</f>
        <v/>
      </c>
      <c r="AO93" s="212" t="str">
        <f t="shared" ca="1" si="42"/>
        <v/>
      </c>
      <c r="AP93" s="212" t="str">
        <f t="shared" ca="1" si="43"/>
        <v/>
      </c>
      <c r="AQ93" s="212" t="str">
        <f t="shared" ca="1" si="44"/>
        <v/>
      </c>
      <c r="AR93" s="212" t="str">
        <f t="shared" ca="1" si="28"/>
        <v/>
      </c>
      <c r="AS93" s="212" t="str">
        <f t="shared" ca="1" si="45"/>
        <v/>
      </c>
      <c r="AT93" s="212" t="str">
        <f t="shared" ca="1" si="46"/>
        <v/>
      </c>
      <c r="AU93" s="212" t="str">
        <f t="shared" ca="1" si="47"/>
        <v/>
      </c>
      <c r="AV93" s="212" t="str">
        <f t="shared" ca="1" si="48"/>
        <v/>
      </c>
      <c r="AX93" s="212">
        <f t="shared" si="49"/>
        <v>0</v>
      </c>
      <c r="AY93" s="212">
        <f t="shared" si="50"/>
        <v>86</v>
      </c>
      <c r="AZ93" s="212" t="str">
        <f t="shared" ca="1" si="51"/>
        <v/>
      </c>
      <c r="BA93" s="212" t="str">
        <f t="shared" si="29"/>
        <v/>
      </c>
      <c r="BB93" s="212" t="str">
        <f t="shared" si="52"/>
        <v/>
      </c>
      <c r="BC93" s="212" t="str">
        <f t="shared" ca="1" si="30"/>
        <v/>
      </c>
    </row>
    <row r="94" spans="1:55" ht="24" customHeight="1" x14ac:dyDescent="0.15">
      <c r="A94" s="234">
        <v>87</v>
      </c>
      <c r="B94" s="235" t="str">
        <f>IF($C94&lt;&gt;"",VLOOKUP($N94,マスタ!$H$4:$K$51,3,TRUE),"")</f>
        <v/>
      </c>
      <c r="C94" s="236"/>
      <c r="D94" s="236"/>
      <c r="E94" s="236"/>
      <c r="F94" s="237" t="str">
        <f>IF($R94&lt;&gt;"",IF(VLOOKUP($R94,選手登録!$A$8:$H$57,8,FALSE)&lt;&gt;"",VLOOKUP($R94,選手登録!$A$8:$H$57,8,FALSE),団体登録!$B$7),"")</f>
        <v/>
      </c>
      <c r="G94" s="238"/>
      <c r="H94" s="333" t="str">
        <f t="shared" si="31"/>
        <v/>
      </c>
      <c r="I94" s="239"/>
      <c r="J94" s="233" t="str">
        <f>IF($AC94&gt;0,リスト!$Y$22,IF($AD94=1,リスト!$Y$21,IF($AD94=2,リスト!$Y$23,IF($AE94&gt;0,リスト!$Y$18,IF($AF94&gt;0,リスト!$Y$19,IF($AG94&gt;0,リスト!$Y$20,IF($AH94&gt;0,リスト!$Y$24,IF($AI94&gt;0,リスト!$Y$25,IF($AJ94&gt;0,リスト!$Y$26,"")))))))))</f>
        <v/>
      </c>
      <c r="K94" s="211" t="s">
        <v>149</v>
      </c>
      <c r="M94" s="212">
        <f t="shared" si="32"/>
        <v>87</v>
      </c>
      <c r="N94" s="212" t="str">
        <f>IF($C94&lt;&gt;"",VLOOKUP($C94,マスタ!$L$4:$U$51,9,FALSE),"")</f>
        <v/>
      </c>
      <c r="O94" s="212" t="str">
        <f>IF($C94&lt;&gt;"",VLOOKUP($N94,マスタ!$H$4:$I$51,2,TRUE),"")</f>
        <v/>
      </c>
      <c r="P94" s="212" t="str">
        <f>IF($N94&lt;&gt;"",VLOOKUP($N94,マスタ!$T$4:$W$51,3,FALSE),"")</f>
        <v/>
      </c>
      <c r="Q94" s="212" t="str">
        <f>IF($N94&lt;&gt;"",VLOOKUP($N94,マスタ!$T$4:$W$51,4,FALSE),"")</f>
        <v/>
      </c>
      <c r="R94" s="212" t="str">
        <f>IF($D94&lt;&gt;"",VLOOKUP($D94,選手登録!$N$8:$P$57,3,FALSE),"")</f>
        <v/>
      </c>
      <c r="S94" s="212" t="str">
        <f>IF($R94&lt;&gt;"",VLOOKUP($R94,選手登録!$M$8:$V$57,6,FALSE),"")</f>
        <v/>
      </c>
      <c r="T94" s="212" t="str">
        <f>IF($R94&lt;&gt;"",VLOOKUP($R94,選手登録!$M$8:$V$57,7,FALSE),"")</f>
        <v/>
      </c>
      <c r="U94" s="212" t="str">
        <f>IF($R94&lt;&gt;"",IF(VLOOKUP($R94,選手登録!$M$8:$U$57,9,FALSE)&lt;&gt;"",1,0),"")</f>
        <v/>
      </c>
      <c r="V94" s="212" t="str">
        <f>IF($E94&lt;&gt;"",VLOOKUP($E94,馬匹登録!$L$8:$N$57,3,FALSE),"")</f>
        <v/>
      </c>
      <c r="W94" s="212" t="str">
        <f>IF($V94&lt;&gt;"",IF(VLOOKUP($V94,馬匹登録!$N$8:$O$57,2,FALSE)&lt;&gt;"",1,0),"")</f>
        <v/>
      </c>
      <c r="X94" s="212" t="str">
        <f>IF($V94&lt;&gt;"",IF(VLOOKUP($V94,馬匹登録!$N$8:$Q$57,3,FALSE)&lt;&gt;"",1,0),"")</f>
        <v/>
      </c>
      <c r="Y94" s="212" t="str">
        <f>IF($V94&lt;&gt;"",IF(VLOOKUP($V94,馬匹登録!$N$8:$Q$57,4,FALSE)&lt;&gt;"",1,0),"")</f>
        <v/>
      </c>
      <c r="Z94" s="212" t="str">
        <f>IF($G94&lt;&gt;"",VLOOKUP($G94,リスト!$J$2:$K$5,2,FALSE),"")</f>
        <v/>
      </c>
      <c r="AA94" s="212" t="str">
        <f>IF($E94&lt;&gt;"",IFERROR(VLOOKUP($N94,マスタ!$H$4:$R$51,7+VLOOKUP($G94,リスト!$J$2:$K$5,2,FALSE),FALSE),"-"),"")</f>
        <v/>
      </c>
      <c r="AB94" s="212" t="str">
        <f t="shared" si="33"/>
        <v/>
      </c>
      <c r="AC94" s="212">
        <f>IF($AC$6=1,IFERROR(IF(AND($N94&lt;&gt;"",$R94&lt;&gt;""),IF(VLOOKUP($N94,マスタ!$T$4:$AC$51,4+$S94,FALSE)=0,1,0),0),1),0)</f>
        <v>0</v>
      </c>
      <c r="AD94" s="212">
        <f t="shared" si="34"/>
        <v>0</v>
      </c>
      <c r="AE94" s="212">
        <f>IF($AE$6=1,IFERROR(IF($G94="社馬連",IF(IFERROR(VLOOKUP($F94,リスト!$F$10:$H$51,2,FALSE),2)&lt;&gt;0,1,0),0),1),0)</f>
        <v>0</v>
      </c>
      <c r="AF94" s="212">
        <f t="shared" si="35"/>
        <v>0</v>
      </c>
      <c r="AG94" s="212">
        <f t="shared" si="36"/>
        <v>0</v>
      </c>
      <c r="AH94" s="212">
        <f t="shared" si="37"/>
        <v>0</v>
      </c>
      <c r="AI94" s="212">
        <f t="shared" si="38"/>
        <v>0</v>
      </c>
      <c r="AJ94" s="212">
        <f t="shared" si="39"/>
        <v>0</v>
      </c>
      <c r="AK94" s="212" t="str">
        <f t="shared" si="40"/>
        <v/>
      </c>
      <c r="AL94" s="212">
        <f t="shared" si="41"/>
        <v>0</v>
      </c>
      <c r="AM94" s="212" t="str">
        <f>IFERROR(VLOOKUP($N94,マスタ!$T$4:$AE$51,12,TRUE),"")</f>
        <v/>
      </c>
      <c r="AO94" s="212" t="str">
        <f t="shared" ca="1" si="42"/>
        <v/>
      </c>
      <c r="AP94" s="212" t="str">
        <f t="shared" ca="1" si="43"/>
        <v/>
      </c>
      <c r="AQ94" s="212" t="str">
        <f t="shared" ca="1" si="44"/>
        <v/>
      </c>
      <c r="AR94" s="212" t="str">
        <f t="shared" ca="1" si="28"/>
        <v/>
      </c>
      <c r="AS94" s="212" t="str">
        <f t="shared" ca="1" si="45"/>
        <v/>
      </c>
      <c r="AT94" s="212" t="str">
        <f t="shared" ca="1" si="46"/>
        <v/>
      </c>
      <c r="AU94" s="212" t="str">
        <f t="shared" ca="1" si="47"/>
        <v/>
      </c>
      <c r="AV94" s="212" t="str">
        <f t="shared" ca="1" si="48"/>
        <v/>
      </c>
      <c r="AX94" s="212">
        <f t="shared" si="49"/>
        <v>0</v>
      </c>
      <c r="AY94" s="212">
        <f t="shared" si="50"/>
        <v>87</v>
      </c>
      <c r="AZ94" s="212" t="str">
        <f t="shared" ca="1" si="51"/>
        <v/>
      </c>
      <c r="BA94" s="212" t="str">
        <f t="shared" si="29"/>
        <v/>
      </c>
      <c r="BB94" s="212" t="str">
        <f t="shared" si="52"/>
        <v/>
      </c>
      <c r="BC94" s="212" t="str">
        <f t="shared" ca="1" si="30"/>
        <v/>
      </c>
    </row>
    <row r="95" spans="1:55" ht="24" customHeight="1" x14ac:dyDescent="0.15">
      <c r="A95" s="234">
        <v>88</v>
      </c>
      <c r="B95" s="235" t="str">
        <f>IF($C95&lt;&gt;"",VLOOKUP($N95,マスタ!$H$4:$K$51,3,TRUE),"")</f>
        <v/>
      </c>
      <c r="C95" s="236"/>
      <c r="D95" s="236"/>
      <c r="E95" s="236"/>
      <c r="F95" s="237" t="str">
        <f>IF($R95&lt;&gt;"",IF(VLOOKUP($R95,選手登録!$A$8:$H$57,8,FALSE)&lt;&gt;"",VLOOKUP($R95,選手登録!$A$8:$H$57,8,FALSE),団体登録!$B$7),"")</f>
        <v/>
      </c>
      <c r="G95" s="238"/>
      <c r="H95" s="333" t="str">
        <f t="shared" si="31"/>
        <v/>
      </c>
      <c r="I95" s="239"/>
      <c r="J95" s="233" t="str">
        <f>IF($AC95&gt;0,リスト!$Y$22,IF($AD95=1,リスト!$Y$21,IF($AD95=2,リスト!$Y$23,IF($AE95&gt;0,リスト!$Y$18,IF($AF95&gt;0,リスト!$Y$19,IF($AG95&gt;0,リスト!$Y$20,IF($AH95&gt;0,リスト!$Y$24,IF($AI95&gt;0,リスト!$Y$25,IF($AJ95&gt;0,リスト!$Y$26,"")))))))))</f>
        <v/>
      </c>
      <c r="K95" s="211" t="s">
        <v>149</v>
      </c>
      <c r="M95" s="212">
        <f t="shared" si="32"/>
        <v>88</v>
      </c>
      <c r="N95" s="212" t="str">
        <f>IF($C95&lt;&gt;"",VLOOKUP($C95,マスタ!$L$4:$U$51,9,FALSE),"")</f>
        <v/>
      </c>
      <c r="O95" s="212" t="str">
        <f>IF($C95&lt;&gt;"",VLOOKUP($N95,マスタ!$H$4:$I$51,2,TRUE),"")</f>
        <v/>
      </c>
      <c r="P95" s="212" t="str">
        <f>IF($N95&lt;&gt;"",VLOOKUP($N95,マスタ!$T$4:$W$51,3,FALSE),"")</f>
        <v/>
      </c>
      <c r="Q95" s="212" t="str">
        <f>IF($N95&lt;&gt;"",VLOOKUP($N95,マスタ!$T$4:$W$51,4,FALSE),"")</f>
        <v/>
      </c>
      <c r="R95" s="212" t="str">
        <f>IF($D95&lt;&gt;"",VLOOKUP($D95,選手登録!$N$8:$P$57,3,FALSE),"")</f>
        <v/>
      </c>
      <c r="S95" s="212" t="str">
        <f>IF($R95&lt;&gt;"",VLOOKUP($R95,選手登録!$M$8:$V$57,6,FALSE),"")</f>
        <v/>
      </c>
      <c r="T95" s="212" t="str">
        <f>IF($R95&lt;&gt;"",VLOOKUP($R95,選手登録!$M$8:$V$57,7,FALSE),"")</f>
        <v/>
      </c>
      <c r="U95" s="212" t="str">
        <f>IF($R95&lt;&gt;"",IF(VLOOKUP($R95,選手登録!$M$8:$U$57,9,FALSE)&lt;&gt;"",1,0),"")</f>
        <v/>
      </c>
      <c r="V95" s="212" t="str">
        <f>IF($E95&lt;&gt;"",VLOOKUP($E95,馬匹登録!$L$8:$N$57,3,FALSE),"")</f>
        <v/>
      </c>
      <c r="W95" s="212" t="str">
        <f>IF($V95&lt;&gt;"",IF(VLOOKUP($V95,馬匹登録!$N$8:$O$57,2,FALSE)&lt;&gt;"",1,0),"")</f>
        <v/>
      </c>
      <c r="X95" s="212" t="str">
        <f>IF($V95&lt;&gt;"",IF(VLOOKUP($V95,馬匹登録!$N$8:$Q$57,3,FALSE)&lt;&gt;"",1,0),"")</f>
        <v/>
      </c>
      <c r="Y95" s="212" t="str">
        <f>IF($V95&lt;&gt;"",IF(VLOOKUP($V95,馬匹登録!$N$8:$Q$57,4,FALSE)&lt;&gt;"",1,0),"")</f>
        <v/>
      </c>
      <c r="Z95" s="212" t="str">
        <f>IF($G95&lt;&gt;"",VLOOKUP($G95,リスト!$J$2:$K$5,2,FALSE),"")</f>
        <v/>
      </c>
      <c r="AA95" s="212" t="str">
        <f>IF($E95&lt;&gt;"",IFERROR(VLOOKUP($N95,マスタ!$H$4:$R$51,7+VLOOKUP($G95,リスト!$J$2:$K$5,2,FALSE),FALSE),"-"),"")</f>
        <v/>
      </c>
      <c r="AB95" s="212" t="str">
        <f t="shared" si="33"/>
        <v/>
      </c>
      <c r="AC95" s="212">
        <f>IF($AC$6=1,IFERROR(IF(AND($N95&lt;&gt;"",$R95&lt;&gt;""),IF(VLOOKUP($N95,マスタ!$T$4:$AC$51,4+$S95,FALSE)=0,1,0),0),1),0)</f>
        <v>0</v>
      </c>
      <c r="AD95" s="212">
        <f t="shared" si="34"/>
        <v>0</v>
      </c>
      <c r="AE95" s="212">
        <f>IF($AE$6=1,IFERROR(IF($G95="社馬連",IF(IFERROR(VLOOKUP($F95,リスト!$F$10:$H$51,2,FALSE),2)&lt;&gt;0,1,0),0),1),0)</f>
        <v>0</v>
      </c>
      <c r="AF95" s="212">
        <f t="shared" si="35"/>
        <v>0</v>
      </c>
      <c r="AG95" s="212">
        <f t="shared" si="36"/>
        <v>0</v>
      </c>
      <c r="AH95" s="212">
        <f t="shared" si="37"/>
        <v>0</v>
      </c>
      <c r="AI95" s="212">
        <f t="shared" si="38"/>
        <v>0</v>
      </c>
      <c r="AJ95" s="212">
        <f t="shared" si="39"/>
        <v>0</v>
      </c>
      <c r="AK95" s="212" t="str">
        <f t="shared" si="40"/>
        <v/>
      </c>
      <c r="AL95" s="212">
        <f t="shared" si="41"/>
        <v>0</v>
      </c>
      <c r="AM95" s="212" t="str">
        <f>IFERROR(VLOOKUP($N95,マスタ!$T$4:$AE$51,12,TRUE),"")</f>
        <v/>
      </c>
      <c r="AO95" s="212" t="str">
        <f t="shared" ca="1" si="42"/>
        <v/>
      </c>
      <c r="AP95" s="212" t="str">
        <f t="shared" ca="1" si="43"/>
        <v/>
      </c>
      <c r="AQ95" s="212" t="str">
        <f t="shared" ca="1" si="44"/>
        <v/>
      </c>
      <c r="AR95" s="212" t="str">
        <f t="shared" ca="1" si="28"/>
        <v/>
      </c>
      <c r="AS95" s="212" t="str">
        <f t="shared" ca="1" si="45"/>
        <v/>
      </c>
      <c r="AT95" s="212" t="str">
        <f t="shared" ca="1" si="46"/>
        <v/>
      </c>
      <c r="AU95" s="212" t="str">
        <f t="shared" ca="1" si="47"/>
        <v/>
      </c>
      <c r="AV95" s="212" t="str">
        <f t="shared" ca="1" si="48"/>
        <v/>
      </c>
      <c r="AX95" s="212">
        <f t="shared" si="49"/>
        <v>0</v>
      </c>
      <c r="AY95" s="212">
        <f t="shared" si="50"/>
        <v>88</v>
      </c>
      <c r="AZ95" s="212" t="str">
        <f t="shared" ca="1" si="51"/>
        <v/>
      </c>
      <c r="BA95" s="212" t="str">
        <f t="shared" si="29"/>
        <v/>
      </c>
      <c r="BB95" s="212" t="str">
        <f t="shared" si="52"/>
        <v/>
      </c>
      <c r="BC95" s="212" t="str">
        <f t="shared" ca="1" si="30"/>
        <v/>
      </c>
    </row>
    <row r="96" spans="1:55" ht="24" customHeight="1" x14ac:dyDescent="0.15">
      <c r="A96" s="234">
        <v>89</v>
      </c>
      <c r="B96" s="235" t="str">
        <f>IF($C96&lt;&gt;"",VLOOKUP($N96,マスタ!$H$4:$K$51,3,TRUE),"")</f>
        <v/>
      </c>
      <c r="C96" s="236"/>
      <c r="D96" s="236"/>
      <c r="E96" s="236"/>
      <c r="F96" s="237" t="str">
        <f>IF($R96&lt;&gt;"",IF(VLOOKUP($R96,選手登録!$A$8:$H$57,8,FALSE)&lt;&gt;"",VLOOKUP($R96,選手登録!$A$8:$H$57,8,FALSE),団体登録!$B$7),"")</f>
        <v/>
      </c>
      <c r="G96" s="238"/>
      <c r="H96" s="333" t="str">
        <f t="shared" si="31"/>
        <v/>
      </c>
      <c r="I96" s="239"/>
      <c r="J96" s="233" t="str">
        <f>IF($AC96&gt;0,リスト!$Y$22,IF($AD96=1,リスト!$Y$21,IF($AD96=2,リスト!$Y$23,IF($AE96&gt;0,リスト!$Y$18,IF($AF96&gt;0,リスト!$Y$19,IF($AG96&gt;0,リスト!$Y$20,IF($AH96&gt;0,リスト!$Y$24,IF($AI96&gt;0,リスト!$Y$25,IF($AJ96&gt;0,リスト!$Y$26,"")))))))))</f>
        <v/>
      </c>
      <c r="K96" s="211" t="s">
        <v>149</v>
      </c>
      <c r="M96" s="212">
        <f t="shared" si="32"/>
        <v>89</v>
      </c>
      <c r="N96" s="212" t="str">
        <f>IF($C96&lt;&gt;"",VLOOKUP($C96,マスタ!$L$4:$U$51,9,FALSE),"")</f>
        <v/>
      </c>
      <c r="O96" s="212" t="str">
        <f>IF($C96&lt;&gt;"",VLOOKUP($N96,マスタ!$H$4:$I$51,2,TRUE),"")</f>
        <v/>
      </c>
      <c r="P96" s="212" t="str">
        <f>IF($N96&lt;&gt;"",VLOOKUP($N96,マスタ!$T$4:$W$51,3,FALSE),"")</f>
        <v/>
      </c>
      <c r="Q96" s="212" t="str">
        <f>IF($N96&lt;&gt;"",VLOOKUP($N96,マスタ!$T$4:$W$51,4,FALSE),"")</f>
        <v/>
      </c>
      <c r="R96" s="212" t="str">
        <f>IF($D96&lt;&gt;"",VLOOKUP($D96,選手登録!$N$8:$P$57,3,FALSE),"")</f>
        <v/>
      </c>
      <c r="S96" s="212" t="str">
        <f>IF($R96&lt;&gt;"",VLOOKUP($R96,選手登録!$M$8:$V$57,6,FALSE),"")</f>
        <v/>
      </c>
      <c r="T96" s="212" t="str">
        <f>IF($R96&lt;&gt;"",VLOOKUP($R96,選手登録!$M$8:$V$57,7,FALSE),"")</f>
        <v/>
      </c>
      <c r="U96" s="212" t="str">
        <f>IF($R96&lt;&gt;"",IF(VLOOKUP($R96,選手登録!$M$8:$U$57,9,FALSE)&lt;&gt;"",1,0),"")</f>
        <v/>
      </c>
      <c r="V96" s="212" t="str">
        <f>IF($E96&lt;&gt;"",VLOOKUP($E96,馬匹登録!$L$8:$N$57,3,FALSE),"")</f>
        <v/>
      </c>
      <c r="W96" s="212" t="str">
        <f>IF($V96&lt;&gt;"",IF(VLOOKUP($V96,馬匹登録!$N$8:$O$57,2,FALSE)&lt;&gt;"",1,0),"")</f>
        <v/>
      </c>
      <c r="X96" s="212" t="str">
        <f>IF($V96&lt;&gt;"",IF(VLOOKUP($V96,馬匹登録!$N$8:$Q$57,3,FALSE)&lt;&gt;"",1,0),"")</f>
        <v/>
      </c>
      <c r="Y96" s="212" t="str">
        <f>IF($V96&lt;&gt;"",IF(VLOOKUP($V96,馬匹登録!$N$8:$Q$57,4,FALSE)&lt;&gt;"",1,0),"")</f>
        <v/>
      </c>
      <c r="Z96" s="212" t="str">
        <f>IF($G96&lt;&gt;"",VLOOKUP($G96,リスト!$J$2:$K$5,2,FALSE),"")</f>
        <v/>
      </c>
      <c r="AA96" s="212" t="str">
        <f>IF($E96&lt;&gt;"",IFERROR(VLOOKUP($N96,マスタ!$H$4:$R$51,7+VLOOKUP($G96,リスト!$J$2:$K$5,2,FALSE),FALSE),"-"),"")</f>
        <v/>
      </c>
      <c r="AB96" s="212" t="str">
        <f t="shared" si="33"/>
        <v/>
      </c>
      <c r="AC96" s="212">
        <f>IF($AC$6=1,IFERROR(IF(AND($N96&lt;&gt;"",$R96&lt;&gt;""),IF(VLOOKUP($N96,マスタ!$T$4:$AC$51,4+$S96,FALSE)=0,1,0),0),1),0)</f>
        <v>0</v>
      </c>
      <c r="AD96" s="212">
        <f t="shared" si="34"/>
        <v>0</v>
      </c>
      <c r="AE96" s="212">
        <f>IF($AE$6=1,IFERROR(IF($G96="社馬連",IF(IFERROR(VLOOKUP($F96,リスト!$F$10:$H$51,2,FALSE),2)&lt;&gt;0,1,0),0),1),0)</f>
        <v>0</v>
      </c>
      <c r="AF96" s="212">
        <f t="shared" si="35"/>
        <v>0</v>
      </c>
      <c r="AG96" s="212">
        <f t="shared" si="36"/>
        <v>0</v>
      </c>
      <c r="AH96" s="212">
        <f t="shared" si="37"/>
        <v>0</v>
      </c>
      <c r="AI96" s="212">
        <f t="shared" si="38"/>
        <v>0</v>
      </c>
      <c r="AJ96" s="212">
        <f t="shared" si="39"/>
        <v>0</v>
      </c>
      <c r="AK96" s="212" t="str">
        <f t="shared" si="40"/>
        <v/>
      </c>
      <c r="AL96" s="212">
        <f t="shared" si="41"/>
        <v>0</v>
      </c>
      <c r="AM96" s="212" t="str">
        <f>IFERROR(VLOOKUP($N96,マスタ!$T$4:$AE$51,12,TRUE),"")</f>
        <v/>
      </c>
      <c r="AO96" s="212" t="str">
        <f t="shared" ca="1" si="42"/>
        <v/>
      </c>
      <c r="AP96" s="212" t="str">
        <f t="shared" ca="1" si="43"/>
        <v/>
      </c>
      <c r="AQ96" s="212" t="str">
        <f t="shared" ca="1" si="44"/>
        <v/>
      </c>
      <c r="AR96" s="212" t="str">
        <f t="shared" ca="1" si="28"/>
        <v/>
      </c>
      <c r="AS96" s="212" t="str">
        <f t="shared" ca="1" si="45"/>
        <v/>
      </c>
      <c r="AT96" s="212" t="str">
        <f t="shared" ca="1" si="46"/>
        <v/>
      </c>
      <c r="AU96" s="212" t="str">
        <f t="shared" ca="1" si="47"/>
        <v/>
      </c>
      <c r="AV96" s="212" t="str">
        <f t="shared" ca="1" si="48"/>
        <v/>
      </c>
      <c r="AX96" s="212">
        <f t="shared" si="49"/>
        <v>0</v>
      </c>
      <c r="AY96" s="212">
        <f t="shared" si="50"/>
        <v>89</v>
      </c>
      <c r="AZ96" s="212" t="str">
        <f t="shared" ca="1" si="51"/>
        <v/>
      </c>
      <c r="BA96" s="212" t="str">
        <f t="shared" si="29"/>
        <v/>
      </c>
      <c r="BB96" s="212" t="str">
        <f t="shared" si="52"/>
        <v/>
      </c>
      <c r="BC96" s="212" t="str">
        <f t="shared" ca="1" si="30"/>
        <v/>
      </c>
    </row>
    <row r="97" spans="1:55" ht="24" customHeight="1" x14ac:dyDescent="0.15">
      <c r="A97" s="234">
        <v>90</v>
      </c>
      <c r="B97" s="235" t="str">
        <f>IF($C97&lt;&gt;"",VLOOKUP($N97,マスタ!$H$4:$K$51,3,TRUE),"")</f>
        <v/>
      </c>
      <c r="C97" s="236"/>
      <c r="D97" s="236"/>
      <c r="E97" s="236"/>
      <c r="F97" s="237" t="str">
        <f>IF($R97&lt;&gt;"",IF(VLOOKUP($R97,選手登録!$A$8:$H$57,8,FALSE)&lt;&gt;"",VLOOKUP($R97,選手登録!$A$8:$H$57,8,FALSE),団体登録!$B$7),"")</f>
        <v/>
      </c>
      <c r="G97" s="238"/>
      <c r="H97" s="333" t="str">
        <f t="shared" si="31"/>
        <v/>
      </c>
      <c r="I97" s="239"/>
      <c r="J97" s="233" t="str">
        <f>IF($AC97&gt;0,リスト!$Y$22,IF($AD97=1,リスト!$Y$21,IF($AD97=2,リスト!$Y$23,IF($AE97&gt;0,リスト!$Y$18,IF($AF97&gt;0,リスト!$Y$19,IF($AG97&gt;0,リスト!$Y$20,IF($AH97&gt;0,リスト!$Y$24,IF($AI97&gt;0,リスト!$Y$25,IF($AJ97&gt;0,リスト!$Y$26,"")))))))))</f>
        <v/>
      </c>
      <c r="K97" s="211" t="s">
        <v>149</v>
      </c>
      <c r="M97" s="212">
        <f t="shared" si="32"/>
        <v>90</v>
      </c>
      <c r="N97" s="212" t="str">
        <f>IF($C97&lt;&gt;"",VLOOKUP($C97,マスタ!$L$4:$U$51,9,FALSE),"")</f>
        <v/>
      </c>
      <c r="O97" s="212" t="str">
        <f>IF($C97&lt;&gt;"",VLOOKUP($N97,マスタ!$H$4:$I$51,2,TRUE),"")</f>
        <v/>
      </c>
      <c r="P97" s="212" t="str">
        <f>IF($N97&lt;&gt;"",VLOOKUP($N97,マスタ!$T$4:$W$51,3,FALSE),"")</f>
        <v/>
      </c>
      <c r="Q97" s="212" t="str">
        <f>IF($N97&lt;&gt;"",VLOOKUP($N97,マスタ!$T$4:$W$51,4,FALSE),"")</f>
        <v/>
      </c>
      <c r="R97" s="212" t="str">
        <f>IF($D97&lt;&gt;"",VLOOKUP($D97,選手登録!$N$8:$P$57,3,FALSE),"")</f>
        <v/>
      </c>
      <c r="S97" s="212" t="str">
        <f>IF($R97&lt;&gt;"",VLOOKUP($R97,選手登録!$M$8:$V$57,6,FALSE),"")</f>
        <v/>
      </c>
      <c r="T97" s="212" t="str">
        <f>IF($R97&lt;&gt;"",VLOOKUP($R97,選手登録!$M$8:$V$57,7,FALSE),"")</f>
        <v/>
      </c>
      <c r="U97" s="212" t="str">
        <f>IF($R97&lt;&gt;"",IF(VLOOKUP($R97,選手登録!$M$8:$U$57,9,FALSE)&lt;&gt;"",1,0),"")</f>
        <v/>
      </c>
      <c r="V97" s="212" t="str">
        <f>IF($E97&lt;&gt;"",VLOOKUP($E97,馬匹登録!$L$8:$N$57,3,FALSE),"")</f>
        <v/>
      </c>
      <c r="W97" s="212" t="str">
        <f>IF($V97&lt;&gt;"",IF(VLOOKUP($V97,馬匹登録!$N$8:$O$57,2,FALSE)&lt;&gt;"",1,0),"")</f>
        <v/>
      </c>
      <c r="X97" s="212" t="str">
        <f>IF($V97&lt;&gt;"",IF(VLOOKUP($V97,馬匹登録!$N$8:$Q$57,3,FALSE)&lt;&gt;"",1,0),"")</f>
        <v/>
      </c>
      <c r="Y97" s="212" t="str">
        <f>IF($V97&lt;&gt;"",IF(VLOOKUP($V97,馬匹登録!$N$8:$Q$57,4,FALSE)&lt;&gt;"",1,0),"")</f>
        <v/>
      </c>
      <c r="Z97" s="212" t="str">
        <f>IF($G97&lt;&gt;"",VLOOKUP($G97,リスト!$J$2:$K$5,2,FALSE),"")</f>
        <v/>
      </c>
      <c r="AA97" s="212" t="str">
        <f>IF($E97&lt;&gt;"",IFERROR(VLOOKUP($N97,マスタ!$H$4:$R$51,7+VLOOKUP($G97,リスト!$J$2:$K$5,2,FALSE),FALSE),"-"),"")</f>
        <v/>
      </c>
      <c r="AB97" s="212" t="str">
        <f t="shared" si="33"/>
        <v/>
      </c>
      <c r="AC97" s="212">
        <f>IF($AC$6=1,IFERROR(IF(AND($N97&lt;&gt;"",$R97&lt;&gt;""),IF(VLOOKUP($N97,マスタ!$T$4:$AC$51,4+$S97,FALSE)=0,1,0),0),1),0)</f>
        <v>0</v>
      </c>
      <c r="AD97" s="212">
        <f t="shared" si="34"/>
        <v>0</v>
      </c>
      <c r="AE97" s="212">
        <f>IF($AE$6=1,IFERROR(IF($G97="社馬連",IF(IFERROR(VLOOKUP($F97,リスト!$F$10:$H$51,2,FALSE),2)&lt;&gt;0,1,0),0),1),0)</f>
        <v>0</v>
      </c>
      <c r="AF97" s="212">
        <f t="shared" si="35"/>
        <v>0</v>
      </c>
      <c r="AG97" s="212">
        <f t="shared" si="36"/>
        <v>0</v>
      </c>
      <c r="AH97" s="212">
        <f t="shared" si="37"/>
        <v>0</v>
      </c>
      <c r="AI97" s="212">
        <f t="shared" si="38"/>
        <v>0</v>
      </c>
      <c r="AJ97" s="212">
        <f t="shared" si="39"/>
        <v>0</v>
      </c>
      <c r="AK97" s="212" t="str">
        <f t="shared" si="40"/>
        <v/>
      </c>
      <c r="AL97" s="212">
        <f t="shared" si="41"/>
        <v>0</v>
      </c>
      <c r="AM97" s="212" t="str">
        <f>IFERROR(VLOOKUP($N97,マスタ!$T$4:$AE$51,12,TRUE),"")</f>
        <v/>
      </c>
      <c r="AO97" s="212" t="str">
        <f t="shared" ca="1" si="42"/>
        <v/>
      </c>
      <c r="AP97" s="212" t="str">
        <f t="shared" ca="1" si="43"/>
        <v/>
      </c>
      <c r="AQ97" s="212" t="str">
        <f t="shared" ca="1" si="44"/>
        <v/>
      </c>
      <c r="AR97" s="212" t="str">
        <f t="shared" ca="1" si="28"/>
        <v/>
      </c>
      <c r="AS97" s="212" t="str">
        <f t="shared" ca="1" si="45"/>
        <v/>
      </c>
      <c r="AT97" s="212" t="str">
        <f t="shared" ca="1" si="46"/>
        <v/>
      </c>
      <c r="AU97" s="212" t="str">
        <f t="shared" ca="1" si="47"/>
        <v/>
      </c>
      <c r="AV97" s="212" t="str">
        <f t="shared" ca="1" si="48"/>
        <v/>
      </c>
      <c r="AX97" s="212">
        <f t="shared" si="49"/>
        <v>0</v>
      </c>
      <c r="AY97" s="212">
        <f t="shared" si="50"/>
        <v>90</v>
      </c>
      <c r="AZ97" s="212" t="str">
        <f t="shared" ca="1" si="51"/>
        <v/>
      </c>
      <c r="BA97" s="212" t="str">
        <f t="shared" si="29"/>
        <v/>
      </c>
      <c r="BB97" s="212" t="str">
        <f t="shared" si="52"/>
        <v/>
      </c>
      <c r="BC97" s="212" t="str">
        <f t="shared" ca="1" si="30"/>
        <v/>
      </c>
    </row>
    <row r="98" spans="1:55" ht="24" customHeight="1" x14ac:dyDescent="0.15">
      <c r="A98" s="234">
        <v>91</v>
      </c>
      <c r="B98" s="235" t="str">
        <f>IF($C98&lt;&gt;"",VLOOKUP($N98,マスタ!$H$4:$K$51,3,TRUE),"")</f>
        <v/>
      </c>
      <c r="C98" s="236"/>
      <c r="D98" s="236"/>
      <c r="E98" s="236"/>
      <c r="F98" s="237" t="str">
        <f>IF($R98&lt;&gt;"",IF(VLOOKUP($R98,選手登録!$A$8:$H$57,8,FALSE)&lt;&gt;"",VLOOKUP($R98,選手登録!$A$8:$H$57,8,FALSE),団体登録!$B$7),"")</f>
        <v/>
      </c>
      <c r="G98" s="238"/>
      <c r="H98" s="333" t="str">
        <f t="shared" si="31"/>
        <v/>
      </c>
      <c r="I98" s="239"/>
      <c r="J98" s="233" t="str">
        <f>IF($AC98&gt;0,リスト!$Y$22,IF($AD98=1,リスト!$Y$21,IF($AD98=2,リスト!$Y$23,IF($AE98&gt;0,リスト!$Y$18,IF($AF98&gt;0,リスト!$Y$19,IF($AG98&gt;0,リスト!$Y$20,IF($AH98&gt;0,リスト!$Y$24,IF($AI98&gt;0,リスト!$Y$25,IF($AJ98&gt;0,リスト!$Y$26,"")))))))))</f>
        <v/>
      </c>
      <c r="K98" s="211" t="s">
        <v>149</v>
      </c>
      <c r="M98" s="212">
        <f t="shared" si="32"/>
        <v>91</v>
      </c>
      <c r="N98" s="212" t="str">
        <f>IF($C98&lt;&gt;"",VLOOKUP($C98,マスタ!$L$4:$U$51,9,FALSE),"")</f>
        <v/>
      </c>
      <c r="O98" s="212" t="str">
        <f>IF($C98&lt;&gt;"",VLOOKUP($N98,マスタ!$H$4:$I$51,2,TRUE),"")</f>
        <v/>
      </c>
      <c r="P98" s="212" t="str">
        <f>IF($N98&lt;&gt;"",VLOOKUP($N98,マスタ!$T$4:$W$51,3,FALSE),"")</f>
        <v/>
      </c>
      <c r="Q98" s="212" t="str">
        <f>IF($N98&lt;&gt;"",VLOOKUP($N98,マスタ!$T$4:$W$51,4,FALSE),"")</f>
        <v/>
      </c>
      <c r="R98" s="212" t="str">
        <f>IF($D98&lt;&gt;"",VLOOKUP($D98,選手登録!$N$8:$P$57,3,FALSE),"")</f>
        <v/>
      </c>
      <c r="S98" s="212" t="str">
        <f>IF($R98&lt;&gt;"",VLOOKUP($R98,選手登録!$M$8:$V$57,6,FALSE),"")</f>
        <v/>
      </c>
      <c r="T98" s="212" t="str">
        <f>IF($R98&lt;&gt;"",VLOOKUP($R98,選手登録!$M$8:$V$57,7,FALSE),"")</f>
        <v/>
      </c>
      <c r="U98" s="212" t="str">
        <f>IF($R98&lt;&gt;"",IF(VLOOKUP($R98,選手登録!$M$8:$U$57,9,FALSE)&lt;&gt;"",1,0),"")</f>
        <v/>
      </c>
      <c r="V98" s="212" t="str">
        <f>IF($E98&lt;&gt;"",VLOOKUP($E98,馬匹登録!$L$8:$N$57,3,FALSE),"")</f>
        <v/>
      </c>
      <c r="W98" s="212" t="str">
        <f>IF($V98&lt;&gt;"",IF(VLOOKUP($V98,馬匹登録!$N$8:$O$57,2,FALSE)&lt;&gt;"",1,0),"")</f>
        <v/>
      </c>
      <c r="X98" s="212" t="str">
        <f>IF($V98&lt;&gt;"",IF(VLOOKUP($V98,馬匹登録!$N$8:$Q$57,3,FALSE)&lt;&gt;"",1,0),"")</f>
        <v/>
      </c>
      <c r="Y98" s="212" t="str">
        <f>IF($V98&lt;&gt;"",IF(VLOOKUP($V98,馬匹登録!$N$8:$Q$57,4,FALSE)&lt;&gt;"",1,0),"")</f>
        <v/>
      </c>
      <c r="Z98" s="212" t="str">
        <f>IF($G98&lt;&gt;"",VLOOKUP($G98,リスト!$J$2:$K$5,2,FALSE),"")</f>
        <v/>
      </c>
      <c r="AA98" s="212" t="str">
        <f>IF($E98&lt;&gt;"",IFERROR(VLOOKUP($N98,マスタ!$H$4:$R$51,7+VLOOKUP($G98,リスト!$J$2:$K$5,2,FALSE),FALSE),"-"),"")</f>
        <v/>
      </c>
      <c r="AB98" s="212" t="str">
        <f t="shared" si="33"/>
        <v/>
      </c>
      <c r="AC98" s="212">
        <f>IF($AC$6=1,IFERROR(IF(AND($N98&lt;&gt;"",$R98&lt;&gt;""),IF(VLOOKUP($N98,マスタ!$T$4:$AC$51,4+$S98,FALSE)=0,1,0),0),1),0)</f>
        <v>0</v>
      </c>
      <c r="AD98" s="212">
        <f t="shared" si="34"/>
        <v>0</v>
      </c>
      <c r="AE98" s="212">
        <f>IF($AE$6=1,IFERROR(IF($G98="社馬連",IF(IFERROR(VLOOKUP($F98,リスト!$F$10:$H$51,2,FALSE),2)&lt;&gt;0,1,0),0),1),0)</f>
        <v>0</v>
      </c>
      <c r="AF98" s="212">
        <f t="shared" si="35"/>
        <v>0</v>
      </c>
      <c r="AG98" s="212">
        <f t="shared" si="36"/>
        <v>0</v>
      </c>
      <c r="AH98" s="212">
        <f t="shared" si="37"/>
        <v>0</v>
      </c>
      <c r="AI98" s="212">
        <f t="shared" si="38"/>
        <v>0</v>
      </c>
      <c r="AJ98" s="212">
        <f t="shared" si="39"/>
        <v>0</v>
      </c>
      <c r="AK98" s="212" t="str">
        <f t="shared" si="40"/>
        <v/>
      </c>
      <c r="AL98" s="212">
        <f t="shared" si="41"/>
        <v>0</v>
      </c>
      <c r="AM98" s="212" t="str">
        <f>IFERROR(VLOOKUP($N98,マスタ!$T$4:$AE$51,12,TRUE),"")</f>
        <v/>
      </c>
      <c r="AO98" s="212" t="str">
        <f t="shared" ca="1" si="42"/>
        <v/>
      </c>
      <c r="AP98" s="212" t="str">
        <f t="shared" ca="1" si="43"/>
        <v/>
      </c>
      <c r="AQ98" s="212" t="str">
        <f t="shared" ca="1" si="44"/>
        <v/>
      </c>
      <c r="AR98" s="212" t="str">
        <f t="shared" ca="1" si="28"/>
        <v/>
      </c>
      <c r="AS98" s="212" t="str">
        <f t="shared" ca="1" si="45"/>
        <v/>
      </c>
      <c r="AT98" s="212" t="str">
        <f t="shared" ca="1" si="46"/>
        <v/>
      </c>
      <c r="AU98" s="212" t="str">
        <f t="shared" ca="1" si="47"/>
        <v/>
      </c>
      <c r="AV98" s="212" t="str">
        <f t="shared" ca="1" si="48"/>
        <v/>
      </c>
      <c r="AX98" s="212">
        <f t="shared" si="49"/>
        <v>0</v>
      </c>
      <c r="AY98" s="212">
        <f t="shared" si="50"/>
        <v>91</v>
      </c>
      <c r="AZ98" s="212" t="str">
        <f t="shared" ca="1" si="51"/>
        <v/>
      </c>
      <c r="BA98" s="212" t="str">
        <f t="shared" si="29"/>
        <v/>
      </c>
      <c r="BB98" s="212" t="str">
        <f t="shared" si="52"/>
        <v/>
      </c>
      <c r="BC98" s="212" t="str">
        <f t="shared" ca="1" si="30"/>
        <v/>
      </c>
    </row>
    <row r="99" spans="1:55" ht="24" customHeight="1" x14ac:dyDescent="0.15">
      <c r="A99" s="234">
        <v>92</v>
      </c>
      <c r="B99" s="235" t="str">
        <f>IF($C99&lt;&gt;"",VLOOKUP($N99,マスタ!$H$4:$K$51,3,TRUE),"")</f>
        <v/>
      </c>
      <c r="C99" s="236"/>
      <c r="D99" s="236"/>
      <c r="E99" s="236"/>
      <c r="F99" s="237" t="str">
        <f>IF($R99&lt;&gt;"",IF(VLOOKUP($R99,選手登録!$A$8:$H$57,8,FALSE)&lt;&gt;"",VLOOKUP($R99,選手登録!$A$8:$H$57,8,FALSE),団体登録!$B$7),"")</f>
        <v/>
      </c>
      <c r="G99" s="238"/>
      <c r="H99" s="333" t="str">
        <f t="shared" si="31"/>
        <v/>
      </c>
      <c r="I99" s="239"/>
      <c r="J99" s="233" t="str">
        <f>IF($AC99&gt;0,リスト!$Y$22,IF($AD99=1,リスト!$Y$21,IF($AD99=2,リスト!$Y$23,IF($AE99&gt;0,リスト!$Y$18,IF($AF99&gt;0,リスト!$Y$19,IF($AG99&gt;0,リスト!$Y$20,IF($AH99&gt;0,リスト!$Y$24,IF($AI99&gt;0,リスト!$Y$25,IF($AJ99&gt;0,リスト!$Y$26,"")))))))))</f>
        <v/>
      </c>
      <c r="K99" s="211" t="s">
        <v>149</v>
      </c>
      <c r="M99" s="212">
        <f t="shared" si="32"/>
        <v>92</v>
      </c>
      <c r="N99" s="212" t="str">
        <f>IF($C99&lt;&gt;"",VLOOKUP($C99,マスタ!$L$4:$U$51,9,FALSE),"")</f>
        <v/>
      </c>
      <c r="O99" s="212" t="str">
        <f>IF($C99&lt;&gt;"",VLOOKUP($N99,マスタ!$H$4:$I$51,2,TRUE),"")</f>
        <v/>
      </c>
      <c r="P99" s="212" t="str">
        <f>IF($N99&lt;&gt;"",VLOOKUP($N99,マスタ!$T$4:$W$51,3,FALSE),"")</f>
        <v/>
      </c>
      <c r="Q99" s="212" t="str">
        <f>IF($N99&lt;&gt;"",VLOOKUP($N99,マスタ!$T$4:$W$51,4,FALSE),"")</f>
        <v/>
      </c>
      <c r="R99" s="212" t="str">
        <f>IF($D99&lt;&gt;"",VLOOKUP($D99,選手登録!$N$8:$P$57,3,FALSE),"")</f>
        <v/>
      </c>
      <c r="S99" s="212" t="str">
        <f>IF($R99&lt;&gt;"",VLOOKUP($R99,選手登録!$M$8:$V$57,6,FALSE),"")</f>
        <v/>
      </c>
      <c r="T99" s="212" t="str">
        <f>IF($R99&lt;&gt;"",VLOOKUP($R99,選手登録!$M$8:$V$57,7,FALSE),"")</f>
        <v/>
      </c>
      <c r="U99" s="212" t="str">
        <f>IF($R99&lt;&gt;"",IF(VLOOKUP($R99,選手登録!$M$8:$U$57,9,FALSE)&lt;&gt;"",1,0),"")</f>
        <v/>
      </c>
      <c r="V99" s="212" t="str">
        <f>IF($E99&lt;&gt;"",VLOOKUP($E99,馬匹登録!$L$8:$N$57,3,FALSE),"")</f>
        <v/>
      </c>
      <c r="W99" s="212" t="str">
        <f>IF($V99&lt;&gt;"",IF(VLOOKUP($V99,馬匹登録!$N$8:$O$57,2,FALSE)&lt;&gt;"",1,0),"")</f>
        <v/>
      </c>
      <c r="X99" s="212" t="str">
        <f>IF($V99&lt;&gt;"",IF(VLOOKUP($V99,馬匹登録!$N$8:$Q$57,3,FALSE)&lt;&gt;"",1,0),"")</f>
        <v/>
      </c>
      <c r="Y99" s="212" t="str">
        <f>IF($V99&lt;&gt;"",IF(VLOOKUP($V99,馬匹登録!$N$8:$Q$57,4,FALSE)&lt;&gt;"",1,0),"")</f>
        <v/>
      </c>
      <c r="Z99" s="212" t="str">
        <f>IF($G99&lt;&gt;"",VLOOKUP($G99,リスト!$J$2:$K$5,2,FALSE),"")</f>
        <v/>
      </c>
      <c r="AA99" s="212" t="str">
        <f>IF($E99&lt;&gt;"",IFERROR(VLOOKUP($N99,マスタ!$H$4:$R$51,7+VLOOKUP($G99,リスト!$J$2:$K$5,2,FALSE),FALSE),"-"),"")</f>
        <v/>
      </c>
      <c r="AB99" s="212" t="str">
        <f t="shared" si="33"/>
        <v/>
      </c>
      <c r="AC99" s="212">
        <f>IF($AC$6=1,IFERROR(IF(AND($N99&lt;&gt;"",$R99&lt;&gt;""),IF(VLOOKUP($N99,マスタ!$T$4:$AC$51,4+$S99,FALSE)=0,1,0),0),1),0)</f>
        <v>0</v>
      </c>
      <c r="AD99" s="212">
        <f t="shared" si="34"/>
        <v>0</v>
      </c>
      <c r="AE99" s="212">
        <f>IF($AE$6=1,IFERROR(IF($G99="社馬連",IF(IFERROR(VLOOKUP($F99,リスト!$F$10:$H$51,2,FALSE),2)&lt;&gt;0,1,0),0),1),0)</f>
        <v>0</v>
      </c>
      <c r="AF99" s="212">
        <f t="shared" si="35"/>
        <v>0</v>
      </c>
      <c r="AG99" s="212">
        <f t="shared" si="36"/>
        <v>0</v>
      </c>
      <c r="AH99" s="212">
        <f t="shared" si="37"/>
        <v>0</v>
      </c>
      <c r="AI99" s="212">
        <f t="shared" si="38"/>
        <v>0</v>
      </c>
      <c r="AJ99" s="212">
        <f t="shared" si="39"/>
        <v>0</v>
      </c>
      <c r="AK99" s="212" t="str">
        <f t="shared" si="40"/>
        <v/>
      </c>
      <c r="AL99" s="212">
        <f t="shared" si="41"/>
        <v>0</v>
      </c>
      <c r="AM99" s="212" t="str">
        <f>IFERROR(VLOOKUP($N99,マスタ!$T$4:$AE$51,12,TRUE),"")</f>
        <v/>
      </c>
      <c r="AO99" s="212" t="str">
        <f t="shared" ca="1" si="42"/>
        <v/>
      </c>
      <c r="AP99" s="212" t="str">
        <f t="shared" ca="1" si="43"/>
        <v/>
      </c>
      <c r="AQ99" s="212" t="str">
        <f t="shared" ca="1" si="44"/>
        <v/>
      </c>
      <c r="AR99" s="212" t="str">
        <f t="shared" ca="1" si="28"/>
        <v/>
      </c>
      <c r="AS99" s="212" t="str">
        <f t="shared" ca="1" si="45"/>
        <v/>
      </c>
      <c r="AT99" s="212" t="str">
        <f t="shared" ca="1" si="46"/>
        <v/>
      </c>
      <c r="AU99" s="212" t="str">
        <f t="shared" ca="1" si="47"/>
        <v/>
      </c>
      <c r="AV99" s="212" t="str">
        <f t="shared" ca="1" si="48"/>
        <v/>
      </c>
      <c r="AX99" s="212">
        <f t="shared" si="49"/>
        <v>0</v>
      </c>
      <c r="AY99" s="212">
        <f t="shared" si="50"/>
        <v>92</v>
      </c>
      <c r="AZ99" s="212" t="str">
        <f t="shared" ca="1" si="51"/>
        <v/>
      </c>
      <c r="BA99" s="212" t="str">
        <f t="shared" si="29"/>
        <v/>
      </c>
      <c r="BB99" s="212" t="str">
        <f t="shared" si="52"/>
        <v/>
      </c>
      <c r="BC99" s="212" t="str">
        <f t="shared" ca="1" si="30"/>
        <v/>
      </c>
    </row>
    <row r="100" spans="1:55" ht="24" customHeight="1" x14ac:dyDescent="0.15">
      <c r="A100" s="234">
        <v>93</v>
      </c>
      <c r="B100" s="235" t="str">
        <f>IF($C100&lt;&gt;"",VLOOKUP($N100,マスタ!$H$4:$K$51,3,TRUE),"")</f>
        <v/>
      </c>
      <c r="C100" s="236"/>
      <c r="D100" s="236"/>
      <c r="E100" s="236"/>
      <c r="F100" s="237" t="str">
        <f>IF($R100&lt;&gt;"",IF(VLOOKUP($R100,選手登録!$A$8:$H$57,8,FALSE)&lt;&gt;"",VLOOKUP($R100,選手登録!$A$8:$H$57,8,FALSE),団体登録!$B$7),"")</f>
        <v/>
      </c>
      <c r="G100" s="238"/>
      <c r="H100" s="333" t="str">
        <f t="shared" si="31"/>
        <v/>
      </c>
      <c r="I100" s="239"/>
      <c r="J100" s="233" t="str">
        <f>IF($AC100&gt;0,リスト!$Y$22,IF($AD100=1,リスト!$Y$21,IF($AD100=2,リスト!$Y$23,IF($AE100&gt;0,リスト!$Y$18,IF($AF100&gt;0,リスト!$Y$19,IF($AG100&gt;0,リスト!$Y$20,IF($AH100&gt;0,リスト!$Y$24,IF($AI100&gt;0,リスト!$Y$25,IF($AJ100&gt;0,リスト!$Y$26,"")))))))))</f>
        <v/>
      </c>
      <c r="K100" s="211" t="s">
        <v>149</v>
      </c>
      <c r="M100" s="212">
        <f t="shared" si="32"/>
        <v>93</v>
      </c>
      <c r="N100" s="212" t="str">
        <f>IF($C100&lt;&gt;"",VLOOKUP($C100,マスタ!$L$4:$U$51,9,FALSE),"")</f>
        <v/>
      </c>
      <c r="O100" s="212" t="str">
        <f>IF($C100&lt;&gt;"",VLOOKUP($N100,マスタ!$H$4:$I$51,2,TRUE),"")</f>
        <v/>
      </c>
      <c r="P100" s="212" t="str">
        <f>IF($N100&lt;&gt;"",VLOOKUP($N100,マスタ!$T$4:$W$51,3,FALSE),"")</f>
        <v/>
      </c>
      <c r="Q100" s="212" t="str">
        <f>IF($N100&lt;&gt;"",VLOOKUP($N100,マスタ!$T$4:$W$51,4,FALSE),"")</f>
        <v/>
      </c>
      <c r="R100" s="212" t="str">
        <f>IF($D100&lt;&gt;"",VLOOKUP($D100,選手登録!$N$8:$P$57,3,FALSE),"")</f>
        <v/>
      </c>
      <c r="S100" s="212" t="str">
        <f>IF($R100&lt;&gt;"",VLOOKUP($R100,選手登録!$M$8:$V$57,6,FALSE),"")</f>
        <v/>
      </c>
      <c r="T100" s="212" t="str">
        <f>IF($R100&lt;&gt;"",VLOOKUP($R100,選手登録!$M$8:$V$57,7,FALSE),"")</f>
        <v/>
      </c>
      <c r="U100" s="212" t="str">
        <f>IF($R100&lt;&gt;"",IF(VLOOKUP($R100,選手登録!$M$8:$U$57,9,FALSE)&lt;&gt;"",1,0),"")</f>
        <v/>
      </c>
      <c r="V100" s="212" t="str">
        <f>IF($E100&lt;&gt;"",VLOOKUP($E100,馬匹登録!$L$8:$N$57,3,FALSE),"")</f>
        <v/>
      </c>
      <c r="W100" s="212" t="str">
        <f>IF($V100&lt;&gt;"",IF(VLOOKUP($V100,馬匹登録!$N$8:$O$57,2,FALSE)&lt;&gt;"",1,0),"")</f>
        <v/>
      </c>
      <c r="X100" s="212" t="str">
        <f>IF($V100&lt;&gt;"",IF(VLOOKUP($V100,馬匹登録!$N$8:$Q$57,3,FALSE)&lt;&gt;"",1,0),"")</f>
        <v/>
      </c>
      <c r="Y100" s="212" t="str">
        <f>IF($V100&lt;&gt;"",IF(VLOOKUP($V100,馬匹登録!$N$8:$Q$57,4,FALSE)&lt;&gt;"",1,0),"")</f>
        <v/>
      </c>
      <c r="Z100" s="212" t="str">
        <f>IF($G100&lt;&gt;"",VLOOKUP($G100,リスト!$J$2:$K$5,2,FALSE),"")</f>
        <v/>
      </c>
      <c r="AA100" s="212" t="str">
        <f>IF($E100&lt;&gt;"",IFERROR(VLOOKUP($N100,マスタ!$H$4:$R$51,7+VLOOKUP($G100,リスト!$J$2:$K$5,2,FALSE),FALSE),"-"),"")</f>
        <v/>
      </c>
      <c r="AB100" s="212" t="str">
        <f t="shared" si="33"/>
        <v/>
      </c>
      <c r="AC100" s="212">
        <f>IF($AC$6=1,IFERROR(IF(AND($N100&lt;&gt;"",$R100&lt;&gt;""),IF(VLOOKUP($N100,マスタ!$T$4:$AC$51,4+$S100,FALSE)=0,1,0),0),1),0)</f>
        <v>0</v>
      </c>
      <c r="AD100" s="212">
        <f t="shared" si="34"/>
        <v>0</v>
      </c>
      <c r="AE100" s="212">
        <f>IF($AE$6=1,IFERROR(IF($G100="社馬連",IF(IFERROR(VLOOKUP($F100,リスト!$F$10:$H$51,2,FALSE),2)&lt;&gt;0,1,0),0),1),0)</f>
        <v>0</v>
      </c>
      <c r="AF100" s="212">
        <f t="shared" si="35"/>
        <v>0</v>
      </c>
      <c r="AG100" s="212">
        <f t="shared" si="36"/>
        <v>0</v>
      </c>
      <c r="AH100" s="212">
        <f t="shared" si="37"/>
        <v>0</v>
      </c>
      <c r="AI100" s="212">
        <f t="shared" si="38"/>
        <v>0</v>
      </c>
      <c r="AJ100" s="212">
        <f t="shared" si="39"/>
        <v>0</v>
      </c>
      <c r="AK100" s="212" t="str">
        <f t="shared" si="40"/>
        <v/>
      </c>
      <c r="AL100" s="212">
        <f t="shared" si="41"/>
        <v>0</v>
      </c>
      <c r="AM100" s="212" t="str">
        <f>IFERROR(VLOOKUP($N100,マスタ!$T$4:$AE$51,12,TRUE),"")</f>
        <v/>
      </c>
      <c r="AO100" s="212" t="str">
        <f t="shared" ca="1" si="42"/>
        <v/>
      </c>
      <c r="AP100" s="212" t="str">
        <f t="shared" ca="1" si="43"/>
        <v/>
      </c>
      <c r="AQ100" s="212" t="str">
        <f t="shared" ca="1" si="44"/>
        <v/>
      </c>
      <c r="AR100" s="212" t="str">
        <f t="shared" ca="1" si="28"/>
        <v/>
      </c>
      <c r="AS100" s="212" t="str">
        <f t="shared" ca="1" si="45"/>
        <v/>
      </c>
      <c r="AT100" s="212" t="str">
        <f t="shared" ca="1" si="46"/>
        <v/>
      </c>
      <c r="AU100" s="212" t="str">
        <f t="shared" ca="1" si="47"/>
        <v/>
      </c>
      <c r="AV100" s="212" t="str">
        <f t="shared" ca="1" si="48"/>
        <v/>
      </c>
      <c r="AX100" s="212">
        <f t="shared" si="49"/>
        <v>0</v>
      </c>
      <c r="AY100" s="212">
        <f t="shared" si="50"/>
        <v>93</v>
      </c>
      <c r="AZ100" s="212" t="str">
        <f t="shared" ca="1" si="51"/>
        <v/>
      </c>
      <c r="BA100" s="212" t="str">
        <f t="shared" si="29"/>
        <v/>
      </c>
      <c r="BB100" s="212" t="str">
        <f t="shared" si="52"/>
        <v/>
      </c>
      <c r="BC100" s="212" t="str">
        <f t="shared" ca="1" si="30"/>
        <v/>
      </c>
    </row>
    <row r="101" spans="1:55" ht="24" customHeight="1" x14ac:dyDescent="0.15">
      <c r="A101" s="234">
        <v>94</v>
      </c>
      <c r="B101" s="235" t="str">
        <f>IF($C101&lt;&gt;"",VLOOKUP($N101,マスタ!$H$4:$K$51,3,TRUE),"")</f>
        <v/>
      </c>
      <c r="C101" s="236"/>
      <c r="D101" s="236"/>
      <c r="E101" s="236"/>
      <c r="F101" s="237" t="str">
        <f>IF($R101&lt;&gt;"",IF(VLOOKUP($R101,選手登録!$A$8:$H$57,8,FALSE)&lt;&gt;"",VLOOKUP($R101,選手登録!$A$8:$H$57,8,FALSE),団体登録!$B$7),"")</f>
        <v/>
      </c>
      <c r="G101" s="238"/>
      <c r="H101" s="333" t="str">
        <f t="shared" si="31"/>
        <v/>
      </c>
      <c r="I101" s="239"/>
      <c r="J101" s="233" t="str">
        <f>IF($AC101&gt;0,リスト!$Y$22,IF($AD101=1,リスト!$Y$21,IF($AD101=2,リスト!$Y$23,IF($AE101&gt;0,リスト!$Y$18,IF($AF101&gt;0,リスト!$Y$19,IF($AG101&gt;0,リスト!$Y$20,IF($AH101&gt;0,リスト!$Y$24,IF($AI101&gt;0,リスト!$Y$25,IF($AJ101&gt;0,リスト!$Y$26,"")))))))))</f>
        <v/>
      </c>
      <c r="K101" s="211" t="s">
        <v>149</v>
      </c>
      <c r="M101" s="212">
        <f t="shared" si="32"/>
        <v>94</v>
      </c>
      <c r="N101" s="212" t="str">
        <f>IF($C101&lt;&gt;"",VLOOKUP($C101,マスタ!$L$4:$U$51,9,FALSE),"")</f>
        <v/>
      </c>
      <c r="O101" s="212" t="str">
        <f>IF($C101&lt;&gt;"",VLOOKUP($N101,マスタ!$H$4:$I$51,2,TRUE),"")</f>
        <v/>
      </c>
      <c r="P101" s="212" t="str">
        <f>IF($N101&lt;&gt;"",VLOOKUP($N101,マスタ!$T$4:$W$51,3,FALSE),"")</f>
        <v/>
      </c>
      <c r="Q101" s="212" t="str">
        <f>IF($N101&lt;&gt;"",VLOOKUP($N101,マスタ!$T$4:$W$51,4,FALSE),"")</f>
        <v/>
      </c>
      <c r="R101" s="212" t="str">
        <f>IF($D101&lt;&gt;"",VLOOKUP($D101,選手登録!$N$8:$P$57,3,FALSE),"")</f>
        <v/>
      </c>
      <c r="S101" s="212" t="str">
        <f>IF($R101&lt;&gt;"",VLOOKUP($R101,選手登録!$M$8:$V$57,6,FALSE),"")</f>
        <v/>
      </c>
      <c r="T101" s="212" t="str">
        <f>IF($R101&lt;&gt;"",VLOOKUP($R101,選手登録!$M$8:$V$57,7,FALSE),"")</f>
        <v/>
      </c>
      <c r="U101" s="212" t="str">
        <f>IF($R101&lt;&gt;"",IF(VLOOKUP($R101,選手登録!$M$8:$U$57,9,FALSE)&lt;&gt;"",1,0),"")</f>
        <v/>
      </c>
      <c r="V101" s="212" t="str">
        <f>IF($E101&lt;&gt;"",VLOOKUP($E101,馬匹登録!$L$8:$N$57,3,FALSE),"")</f>
        <v/>
      </c>
      <c r="W101" s="212" t="str">
        <f>IF($V101&lt;&gt;"",IF(VLOOKUP($V101,馬匹登録!$N$8:$O$57,2,FALSE)&lt;&gt;"",1,0),"")</f>
        <v/>
      </c>
      <c r="X101" s="212" t="str">
        <f>IF($V101&lt;&gt;"",IF(VLOOKUP($V101,馬匹登録!$N$8:$Q$57,3,FALSE)&lt;&gt;"",1,0),"")</f>
        <v/>
      </c>
      <c r="Y101" s="212" t="str">
        <f>IF($V101&lt;&gt;"",IF(VLOOKUP($V101,馬匹登録!$N$8:$Q$57,4,FALSE)&lt;&gt;"",1,0),"")</f>
        <v/>
      </c>
      <c r="Z101" s="212" t="str">
        <f>IF($G101&lt;&gt;"",VLOOKUP($G101,リスト!$J$2:$K$5,2,FALSE),"")</f>
        <v/>
      </c>
      <c r="AA101" s="212" t="str">
        <f>IF($E101&lt;&gt;"",IFERROR(VLOOKUP($N101,マスタ!$H$4:$R$51,7+VLOOKUP($G101,リスト!$J$2:$K$5,2,FALSE),FALSE),"-"),"")</f>
        <v/>
      </c>
      <c r="AB101" s="212" t="str">
        <f t="shared" si="33"/>
        <v/>
      </c>
      <c r="AC101" s="212">
        <f>IF($AC$6=1,IFERROR(IF(AND($N101&lt;&gt;"",$R101&lt;&gt;""),IF(VLOOKUP($N101,マスタ!$T$4:$AC$51,4+$S101,FALSE)=0,1,0),0),1),0)</f>
        <v>0</v>
      </c>
      <c r="AD101" s="212">
        <f t="shared" si="34"/>
        <v>0</v>
      </c>
      <c r="AE101" s="212">
        <f>IF($AE$6=1,IFERROR(IF($G101="社馬連",IF(IFERROR(VLOOKUP($F101,リスト!$F$10:$H$51,2,FALSE),2)&lt;&gt;0,1,0),0),1),0)</f>
        <v>0</v>
      </c>
      <c r="AF101" s="212">
        <f t="shared" si="35"/>
        <v>0</v>
      </c>
      <c r="AG101" s="212">
        <f t="shared" si="36"/>
        <v>0</v>
      </c>
      <c r="AH101" s="212">
        <f t="shared" si="37"/>
        <v>0</v>
      </c>
      <c r="AI101" s="212">
        <f t="shared" si="38"/>
        <v>0</v>
      </c>
      <c r="AJ101" s="212">
        <f t="shared" si="39"/>
        <v>0</v>
      </c>
      <c r="AK101" s="212" t="str">
        <f t="shared" si="40"/>
        <v/>
      </c>
      <c r="AL101" s="212">
        <f t="shared" si="41"/>
        <v>0</v>
      </c>
      <c r="AM101" s="212" t="str">
        <f>IFERROR(VLOOKUP($N101,マスタ!$T$4:$AE$51,12,TRUE),"")</f>
        <v/>
      </c>
      <c r="AO101" s="212" t="str">
        <f t="shared" ca="1" si="42"/>
        <v/>
      </c>
      <c r="AP101" s="212" t="str">
        <f t="shared" ca="1" si="43"/>
        <v/>
      </c>
      <c r="AQ101" s="212" t="str">
        <f t="shared" ca="1" si="44"/>
        <v/>
      </c>
      <c r="AR101" s="212" t="str">
        <f t="shared" ca="1" si="28"/>
        <v/>
      </c>
      <c r="AS101" s="212" t="str">
        <f t="shared" ca="1" si="45"/>
        <v/>
      </c>
      <c r="AT101" s="212" t="str">
        <f t="shared" ca="1" si="46"/>
        <v/>
      </c>
      <c r="AU101" s="212" t="str">
        <f t="shared" ca="1" si="47"/>
        <v/>
      </c>
      <c r="AV101" s="212" t="str">
        <f t="shared" ca="1" si="48"/>
        <v/>
      </c>
      <c r="AX101" s="212">
        <f t="shared" si="49"/>
        <v>0</v>
      </c>
      <c r="AY101" s="212">
        <f t="shared" si="50"/>
        <v>94</v>
      </c>
      <c r="AZ101" s="212" t="str">
        <f t="shared" ca="1" si="51"/>
        <v/>
      </c>
      <c r="BA101" s="212" t="str">
        <f t="shared" si="29"/>
        <v/>
      </c>
      <c r="BB101" s="212" t="str">
        <f t="shared" si="52"/>
        <v/>
      </c>
      <c r="BC101" s="212" t="str">
        <f t="shared" ca="1" si="30"/>
        <v/>
      </c>
    </row>
    <row r="102" spans="1:55" ht="24" customHeight="1" x14ac:dyDescent="0.15">
      <c r="A102" s="234">
        <v>95</v>
      </c>
      <c r="B102" s="235" t="str">
        <f>IF($C102&lt;&gt;"",VLOOKUP($N102,マスタ!$H$4:$K$51,3,TRUE),"")</f>
        <v/>
      </c>
      <c r="C102" s="236"/>
      <c r="D102" s="236"/>
      <c r="E102" s="236"/>
      <c r="F102" s="237" t="str">
        <f>IF($R102&lt;&gt;"",IF(VLOOKUP($R102,選手登録!$A$8:$H$57,8,FALSE)&lt;&gt;"",VLOOKUP($R102,選手登録!$A$8:$H$57,8,FALSE),団体登録!$B$7),"")</f>
        <v/>
      </c>
      <c r="G102" s="238"/>
      <c r="H102" s="333" t="str">
        <f t="shared" si="31"/>
        <v/>
      </c>
      <c r="I102" s="239"/>
      <c r="J102" s="233" t="str">
        <f>IF($AC102&gt;0,リスト!$Y$22,IF($AD102=1,リスト!$Y$21,IF($AD102=2,リスト!$Y$23,IF($AE102&gt;0,リスト!$Y$18,IF($AF102&gt;0,リスト!$Y$19,IF($AG102&gt;0,リスト!$Y$20,IF($AH102&gt;0,リスト!$Y$24,IF($AI102&gt;0,リスト!$Y$25,IF($AJ102&gt;0,リスト!$Y$26,"")))))))))</f>
        <v/>
      </c>
      <c r="K102" s="211" t="s">
        <v>149</v>
      </c>
      <c r="M102" s="212">
        <f t="shared" si="32"/>
        <v>95</v>
      </c>
      <c r="N102" s="212" t="str">
        <f>IF($C102&lt;&gt;"",VLOOKUP($C102,マスタ!$L$4:$U$51,9,FALSE),"")</f>
        <v/>
      </c>
      <c r="O102" s="212" t="str">
        <f>IF($C102&lt;&gt;"",VLOOKUP($N102,マスタ!$H$4:$I$51,2,TRUE),"")</f>
        <v/>
      </c>
      <c r="P102" s="212" t="str">
        <f>IF($N102&lt;&gt;"",VLOOKUP($N102,マスタ!$T$4:$W$51,3,FALSE),"")</f>
        <v/>
      </c>
      <c r="Q102" s="212" t="str">
        <f>IF($N102&lt;&gt;"",VLOOKUP($N102,マスタ!$T$4:$W$51,4,FALSE),"")</f>
        <v/>
      </c>
      <c r="R102" s="212" t="str">
        <f>IF($D102&lt;&gt;"",VLOOKUP($D102,選手登録!$N$8:$P$57,3,FALSE),"")</f>
        <v/>
      </c>
      <c r="S102" s="212" t="str">
        <f>IF($R102&lt;&gt;"",VLOOKUP($R102,選手登録!$M$8:$V$57,6,FALSE),"")</f>
        <v/>
      </c>
      <c r="T102" s="212" t="str">
        <f>IF($R102&lt;&gt;"",VLOOKUP($R102,選手登録!$M$8:$V$57,7,FALSE),"")</f>
        <v/>
      </c>
      <c r="U102" s="212" t="str">
        <f>IF($R102&lt;&gt;"",IF(VLOOKUP($R102,選手登録!$M$8:$U$57,9,FALSE)&lt;&gt;"",1,0),"")</f>
        <v/>
      </c>
      <c r="V102" s="212" t="str">
        <f>IF($E102&lt;&gt;"",VLOOKUP($E102,馬匹登録!$L$8:$N$57,3,FALSE),"")</f>
        <v/>
      </c>
      <c r="W102" s="212" t="str">
        <f>IF($V102&lt;&gt;"",IF(VLOOKUP($V102,馬匹登録!$N$8:$O$57,2,FALSE)&lt;&gt;"",1,0),"")</f>
        <v/>
      </c>
      <c r="X102" s="212" t="str">
        <f>IF($V102&lt;&gt;"",IF(VLOOKUP($V102,馬匹登録!$N$8:$Q$57,3,FALSE)&lt;&gt;"",1,0),"")</f>
        <v/>
      </c>
      <c r="Y102" s="212" t="str">
        <f>IF($V102&lt;&gt;"",IF(VLOOKUP($V102,馬匹登録!$N$8:$Q$57,4,FALSE)&lt;&gt;"",1,0),"")</f>
        <v/>
      </c>
      <c r="Z102" s="212" t="str">
        <f>IF($G102&lt;&gt;"",VLOOKUP($G102,リスト!$J$2:$K$5,2,FALSE),"")</f>
        <v/>
      </c>
      <c r="AA102" s="212" t="str">
        <f>IF($E102&lt;&gt;"",IFERROR(VLOOKUP($N102,マスタ!$H$4:$R$51,7+VLOOKUP($G102,リスト!$J$2:$K$5,2,FALSE),FALSE),"-"),"")</f>
        <v/>
      </c>
      <c r="AB102" s="212" t="str">
        <f t="shared" si="33"/>
        <v/>
      </c>
      <c r="AC102" s="212">
        <f>IF($AC$6=1,IFERROR(IF(AND($N102&lt;&gt;"",$R102&lt;&gt;""),IF(VLOOKUP($N102,マスタ!$T$4:$AC$51,4+$S102,FALSE)=0,1,0),0),1),0)</f>
        <v>0</v>
      </c>
      <c r="AD102" s="212">
        <f t="shared" si="34"/>
        <v>0</v>
      </c>
      <c r="AE102" s="212">
        <f>IF($AE$6=1,IFERROR(IF($G102="社馬連",IF(IFERROR(VLOOKUP($F102,リスト!$F$10:$H$51,2,FALSE),2)&lt;&gt;0,1,0),0),1),0)</f>
        <v>0</v>
      </c>
      <c r="AF102" s="212">
        <f t="shared" si="35"/>
        <v>0</v>
      </c>
      <c r="AG102" s="212">
        <f t="shared" si="36"/>
        <v>0</v>
      </c>
      <c r="AH102" s="212">
        <f t="shared" si="37"/>
        <v>0</v>
      </c>
      <c r="AI102" s="212">
        <f t="shared" si="38"/>
        <v>0</v>
      </c>
      <c r="AJ102" s="212">
        <f t="shared" si="39"/>
        <v>0</v>
      </c>
      <c r="AK102" s="212" t="str">
        <f t="shared" si="40"/>
        <v/>
      </c>
      <c r="AL102" s="212">
        <f t="shared" si="41"/>
        <v>0</v>
      </c>
      <c r="AM102" s="212" t="str">
        <f>IFERROR(VLOOKUP($N102,マスタ!$T$4:$AE$51,12,TRUE),"")</f>
        <v/>
      </c>
      <c r="AO102" s="212" t="str">
        <f t="shared" ca="1" si="42"/>
        <v/>
      </c>
      <c r="AP102" s="212" t="str">
        <f t="shared" ca="1" si="43"/>
        <v/>
      </c>
      <c r="AQ102" s="212" t="str">
        <f t="shared" ca="1" si="44"/>
        <v/>
      </c>
      <c r="AR102" s="212" t="str">
        <f t="shared" ca="1" si="28"/>
        <v/>
      </c>
      <c r="AS102" s="212" t="str">
        <f t="shared" ca="1" si="45"/>
        <v/>
      </c>
      <c r="AT102" s="212" t="str">
        <f t="shared" ca="1" si="46"/>
        <v/>
      </c>
      <c r="AU102" s="212" t="str">
        <f t="shared" ca="1" si="47"/>
        <v/>
      </c>
      <c r="AV102" s="212" t="str">
        <f t="shared" ca="1" si="48"/>
        <v/>
      </c>
      <c r="AX102" s="212">
        <f t="shared" si="49"/>
        <v>0</v>
      </c>
      <c r="AY102" s="212">
        <f t="shared" si="50"/>
        <v>95</v>
      </c>
      <c r="AZ102" s="212" t="str">
        <f t="shared" ca="1" si="51"/>
        <v/>
      </c>
      <c r="BA102" s="212" t="str">
        <f t="shared" si="29"/>
        <v/>
      </c>
      <c r="BB102" s="212" t="str">
        <f t="shared" si="52"/>
        <v/>
      </c>
      <c r="BC102" s="212" t="str">
        <f t="shared" ca="1" si="30"/>
        <v/>
      </c>
    </row>
    <row r="103" spans="1:55" ht="24" customHeight="1" x14ac:dyDescent="0.15">
      <c r="A103" s="234">
        <v>96</v>
      </c>
      <c r="B103" s="235" t="str">
        <f>IF($C103&lt;&gt;"",VLOOKUP($N103,マスタ!$H$4:$K$51,3,TRUE),"")</f>
        <v/>
      </c>
      <c r="C103" s="236"/>
      <c r="D103" s="236"/>
      <c r="E103" s="236"/>
      <c r="F103" s="237" t="str">
        <f>IF($R103&lt;&gt;"",IF(VLOOKUP($R103,選手登録!$A$8:$H$57,8,FALSE)&lt;&gt;"",VLOOKUP($R103,選手登録!$A$8:$H$57,8,FALSE),団体登録!$B$7),"")</f>
        <v/>
      </c>
      <c r="G103" s="238"/>
      <c r="H103" s="333" t="str">
        <f t="shared" si="31"/>
        <v/>
      </c>
      <c r="I103" s="239"/>
      <c r="J103" s="233" t="str">
        <f>IF($AC103&gt;0,リスト!$Y$22,IF($AD103=1,リスト!$Y$21,IF($AD103=2,リスト!$Y$23,IF($AE103&gt;0,リスト!$Y$18,IF($AF103&gt;0,リスト!$Y$19,IF($AG103&gt;0,リスト!$Y$20,IF($AH103&gt;0,リスト!$Y$24,IF($AI103&gt;0,リスト!$Y$25,IF($AJ103&gt;0,リスト!$Y$26,"")))))))))</f>
        <v/>
      </c>
      <c r="K103" s="211" t="s">
        <v>149</v>
      </c>
      <c r="M103" s="212">
        <f t="shared" si="32"/>
        <v>96</v>
      </c>
      <c r="N103" s="212" t="str">
        <f>IF($C103&lt;&gt;"",VLOOKUP($C103,マスタ!$L$4:$U$51,9,FALSE),"")</f>
        <v/>
      </c>
      <c r="O103" s="212" t="str">
        <f>IF($C103&lt;&gt;"",VLOOKUP($N103,マスタ!$H$4:$I$51,2,TRUE),"")</f>
        <v/>
      </c>
      <c r="P103" s="212" t="str">
        <f>IF($N103&lt;&gt;"",VLOOKUP($N103,マスタ!$T$4:$W$51,3,FALSE),"")</f>
        <v/>
      </c>
      <c r="Q103" s="212" t="str">
        <f>IF($N103&lt;&gt;"",VLOOKUP($N103,マスタ!$T$4:$W$51,4,FALSE),"")</f>
        <v/>
      </c>
      <c r="R103" s="212" t="str">
        <f>IF($D103&lt;&gt;"",VLOOKUP($D103,選手登録!$N$8:$P$57,3,FALSE),"")</f>
        <v/>
      </c>
      <c r="S103" s="212" t="str">
        <f>IF($R103&lt;&gt;"",VLOOKUP($R103,選手登録!$M$8:$V$57,6,FALSE),"")</f>
        <v/>
      </c>
      <c r="T103" s="212" t="str">
        <f>IF($R103&lt;&gt;"",VLOOKUP($R103,選手登録!$M$8:$V$57,7,FALSE),"")</f>
        <v/>
      </c>
      <c r="U103" s="212" t="str">
        <f>IF($R103&lt;&gt;"",IF(VLOOKUP($R103,選手登録!$M$8:$U$57,9,FALSE)&lt;&gt;"",1,0),"")</f>
        <v/>
      </c>
      <c r="V103" s="212" t="str">
        <f>IF($E103&lt;&gt;"",VLOOKUP($E103,馬匹登録!$L$8:$N$57,3,FALSE),"")</f>
        <v/>
      </c>
      <c r="W103" s="212" t="str">
        <f>IF($V103&lt;&gt;"",IF(VLOOKUP($V103,馬匹登録!$N$8:$O$57,2,FALSE)&lt;&gt;"",1,0),"")</f>
        <v/>
      </c>
      <c r="X103" s="212" t="str">
        <f>IF($V103&lt;&gt;"",IF(VLOOKUP($V103,馬匹登録!$N$8:$Q$57,3,FALSE)&lt;&gt;"",1,0),"")</f>
        <v/>
      </c>
      <c r="Y103" s="212" t="str">
        <f>IF($V103&lt;&gt;"",IF(VLOOKUP($V103,馬匹登録!$N$8:$Q$57,4,FALSE)&lt;&gt;"",1,0),"")</f>
        <v/>
      </c>
      <c r="Z103" s="212" t="str">
        <f>IF($G103&lt;&gt;"",VLOOKUP($G103,リスト!$J$2:$K$5,2,FALSE),"")</f>
        <v/>
      </c>
      <c r="AA103" s="212" t="str">
        <f>IF($E103&lt;&gt;"",IFERROR(VLOOKUP($N103,マスタ!$H$4:$R$51,7+VLOOKUP($G103,リスト!$J$2:$K$5,2,FALSE),FALSE),"-"),"")</f>
        <v/>
      </c>
      <c r="AB103" s="212" t="str">
        <f t="shared" si="33"/>
        <v/>
      </c>
      <c r="AC103" s="212">
        <f>IF($AC$6=1,IFERROR(IF(AND($N103&lt;&gt;"",$R103&lt;&gt;""),IF(VLOOKUP($N103,マスタ!$T$4:$AC$51,4+$S103,FALSE)=0,1,0),0),1),0)</f>
        <v>0</v>
      </c>
      <c r="AD103" s="212">
        <f t="shared" si="34"/>
        <v>0</v>
      </c>
      <c r="AE103" s="212">
        <f>IF($AE$6=1,IFERROR(IF($G103="社馬連",IF(IFERROR(VLOOKUP($F103,リスト!$F$10:$H$51,2,FALSE),2)&lt;&gt;0,1,0),0),1),0)</f>
        <v>0</v>
      </c>
      <c r="AF103" s="212">
        <f t="shared" si="35"/>
        <v>0</v>
      </c>
      <c r="AG103" s="212">
        <f t="shared" si="36"/>
        <v>0</v>
      </c>
      <c r="AH103" s="212">
        <f t="shared" si="37"/>
        <v>0</v>
      </c>
      <c r="AI103" s="212">
        <f t="shared" si="38"/>
        <v>0</v>
      </c>
      <c r="AJ103" s="212">
        <f t="shared" si="39"/>
        <v>0</v>
      </c>
      <c r="AK103" s="212" t="str">
        <f t="shared" si="40"/>
        <v/>
      </c>
      <c r="AL103" s="212">
        <f t="shared" si="41"/>
        <v>0</v>
      </c>
      <c r="AM103" s="212" t="str">
        <f>IFERROR(VLOOKUP($N103,マスタ!$T$4:$AE$51,12,TRUE),"")</f>
        <v/>
      </c>
      <c r="AO103" s="212" t="str">
        <f t="shared" ca="1" si="42"/>
        <v/>
      </c>
      <c r="AP103" s="212" t="str">
        <f t="shared" ca="1" si="43"/>
        <v/>
      </c>
      <c r="AQ103" s="212" t="str">
        <f t="shared" ca="1" si="44"/>
        <v/>
      </c>
      <c r="AR103" s="212" t="str">
        <f t="shared" ca="1" si="28"/>
        <v/>
      </c>
      <c r="AS103" s="212" t="str">
        <f t="shared" ca="1" si="45"/>
        <v/>
      </c>
      <c r="AT103" s="212" t="str">
        <f t="shared" ca="1" si="46"/>
        <v/>
      </c>
      <c r="AU103" s="212" t="str">
        <f t="shared" ca="1" si="47"/>
        <v/>
      </c>
      <c r="AV103" s="212" t="str">
        <f t="shared" ca="1" si="48"/>
        <v/>
      </c>
      <c r="AX103" s="212">
        <f t="shared" si="49"/>
        <v>0</v>
      </c>
      <c r="AY103" s="212">
        <f t="shared" si="50"/>
        <v>96</v>
      </c>
      <c r="AZ103" s="212" t="str">
        <f t="shared" ca="1" si="51"/>
        <v/>
      </c>
      <c r="BA103" s="212" t="str">
        <f t="shared" si="29"/>
        <v/>
      </c>
      <c r="BB103" s="212" t="str">
        <f t="shared" si="52"/>
        <v/>
      </c>
      <c r="BC103" s="212" t="str">
        <f t="shared" ca="1" si="30"/>
        <v/>
      </c>
    </row>
    <row r="104" spans="1:55" ht="24" customHeight="1" x14ac:dyDescent="0.15">
      <c r="A104" s="234">
        <v>97</v>
      </c>
      <c r="B104" s="235" t="str">
        <f>IF($C104&lt;&gt;"",VLOOKUP($N104,マスタ!$H$4:$K$51,3,TRUE),"")</f>
        <v/>
      </c>
      <c r="C104" s="236"/>
      <c r="D104" s="236"/>
      <c r="E104" s="236"/>
      <c r="F104" s="237" t="str">
        <f>IF($R104&lt;&gt;"",IF(VLOOKUP($R104,選手登録!$A$8:$H$57,8,FALSE)&lt;&gt;"",VLOOKUP($R104,選手登録!$A$8:$H$57,8,FALSE),団体登録!$B$7),"")</f>
        <v/>
      </c>
      <c r="G104" s="238"/>
      <c r="H104" s="333" t="str">
        <f t="shared" si="31"/>
        <v/>
      </c>
      <c r="I104" s="239"/>
      <c r="J104" s="233" t="str">
        <f>IF($AC104&gt;0,リスト!$Y$22,IF($AD104=1,リスト!$Y$21,IF($AD104=2,リスト!$Y$23,IF($AE104&gt;0,リスト!$Y$18,IF($AF104&gt;0,リスト!$Y$19,IF($AG104&gt;0,リスト!$Y$20,IF($AH104&gt;0,リスト!$Y$24,IF($AI104&gt;0,リスト!$Y$25,IF($AJ104&gt;0,リスト!$Y$26,"")))))))))</f>
        <v/>
      </c>
      <c r="K104" s="211" t="s">
        <v>149</v>
      </c>
      <c r="M104" s="212">
        <f t="shared" si="32"/>
        <v>97</v>
      </c>
      <c r="N104" s="212" t="str">
        <f>IF($C104&lt;&gt;"",VLOOKUP($C104,マスタ!$L$4:$U$51,9,FALSE),"")</f>
        <v/>
      </c>
      <c r="O104" s="212" t="str">
        <f>IF($C104&lt;&gt;"",VLOOKUP($N104,マスタ!$H$4:$I$51,2,TRUE),"")</f>
        <v/>
      </c>
      <c r="P104" s="212" t="str">
        <f>IF($N104&lt;&gt;"",VLOOKUP($N104,マスタ!$T$4:$W$51,3,FALSE),"")</f>
        <v/>
      </c>
      <c r="Q104" s="212" t="str">
        <f>IF($N104&lt;&gt;"",VLOOKUP($N104,マスタ!$T$4:$W$51,4,FALSE),"")</f>
        <v/>
      </c>
      <c r="R104" s="212" t="str">
        <f>IF($D104&lt;&gt;"",VLOOKUP($D104,選手登録!$N$8:$P$57,3,FALSE),"")</f>
        <v/>
      </c>
      <c r="S104" s="212" t="str">
        <f>IF($R104&lt;&gt;"",VLOOKUP($R104,選手登録!$M$8:$V$57,6,FALSE),"")</f>
        <v/>
      </c>
      <c r="T104" s="212" t="str">
        <f>IF($R104&lt;&gt;"",VLOOKUP($R104,選手登録!$M$8:$V$57,7,FALSE),"")</f>
        <v/>
      </c>
      <c r="U104" s="212" t="str">
        <f>IF($R104&lt;&gt;"",IF(VLOOKUP($R104,選手登録!$M$8:$U$57,9,FALSE)&lt;&gt;"",1,0),"")</f>
        <v/>
      </c>
      <c r="V104" s="212" t="str">
        <f>IF($E104&lt;&gt;"",VLOOKUP($E104,馬匹登録!$L$8:$N$57,3,FALSE),"")</f>
        <v/>
      </c>
      <c r="W104" s="212" t="str">
        <f>IF($V104&lt;&gt;"",IF(VLOOKUP($V104,馬匹登録!$N$8:$O$57,2,FALSE)&lt;&gt;"",1,0),"")</f>
        <v/>
      </c>
      <c r="X104" s="212" t="str">
        <f>IF($V104&lt;&gt;"",IF(VLOOKUP($V104,馬匹登録!$N$8:$Q$57,3,FALSE)&lt;&gt;"",1,0),"")</f>
        <v/>
      </c>
      <c r="Y104" s="212" t="str">
        <f>IF($V104&lt;&gt;"",IF(VLOOKUP($V104,馬匹登録!$N$8:$Q$57,4,FALSE)&lt;&gt;"",1,0),"")</f>
        <v/>
      </c>
      <c r="Z104" s="212" t="str">
        <f>IF($G104&lt;&gt;"",VLOOKUP($G104,リスト!$J$2:$K$5,2,FALSE),"")</f>
        <v/>
      </c>
      <c r="AA104" s="212" t="str">
        <f>IF($E104&lt;&gt;"",IFERROR(VLOOKUP($N104,マスタ!$H$4:$R$51,7+VLOOKUP($G104,リスト!$J$2:$K$5,2,FALSE),FALSE),"-"),"")</f>
        <v/>
      </c>
      <c r="AB104" s="212" t="str">
        <f t="shared" si="33"/>
        <v/>
      </c>
      <c r="AC104" s="212">
        <f>IF($AC$6=1,IFERROR(IF(AND($N104&lt;&gt;"",$R104&lt;&gt;""),IF(VLOOKUP($N104,マスタ!$T$4:$AC$51,4+$S104,FALSE)=0,1,0),0),1),0)</f>
        <v>0</v>
      </c>
      <c r="AD104" s="212">
        <f t="shared" si="34"/>
        <v>0</v>
      </c>
      <c r="AE104" s="212">
        <f>IF($AE$6=1,IFERROR(IF($G104="社馬連",IF(IFERROR(VLOOKUP($F104,リスト!$F$10:$H$51,2,FALSE),2)&lt;&gt;0,1,0),0),1),0)</f>
        <v>0</v>
      </c>
      <c r="AF104" s="212">
        <f t="shared" si="35"/>
        <v>0</v>
      </c>
      <c r="AG104" s="212">
        <f t="shared" si="36"/>
        <v>0</v>
      </c>
      <c r="AH104" s="212">
        <f t="shared" si="37"/>
        <v>0</v>
      </c>
      <c r="AI104" s="212">
        <f t="shared" si="38"/>
        <v>0</v>
      </c>
      <c r="AJ104" s="212">
        <f t="shared" si="39"/>
        <v>0</v>
      </c>
      <c r="AK104" s="212" t="str">
        <f t="shared" si="40"/>
        <v/>
      </c>
      <c r="AL104" s="212">
        <f t="shared" si="41"/>
        <v>0</v>
      </c>
      <c r="AM104" s="212" t="str">
        <f>IFERROR(VLOOKUP($N104,マスタ!$T$4:$AE$51,12,TRUE),"")</f>
        <v/>
      </c>
      <c r="AO104" s="212" t="str">
        <f t="shared" ca="1" si="42"/>
        <v/>
      </c>
      <c r="AP104" s="212" t="str">
        <f t="shared" ca="1" si="43"/>
        <v/>
      </c>
      <c r="AQ104" s="212" t="str">
        <f t="shared" ca="1" si="44"/>
        <v/>
      </c>
      <c r="AR104" s="212" t="str">
        <f t="shared" ca="1" si="28"/>
        <v/>
      </c>
      <c r="AS104" s="212" t="str">
        <f t="shared" ca="1" si="45"/>
        <v/>
      </c>
      <c r="AT104" s="212" t="str">
        <f t="shared" ca="1" si="46"/>
        <v/>
      </c>
      <c r="AU104" s="212" t="str">
        <f t="shared" ca="1" si="47"/>
        <v/>
      </c>
      <c r="AV104" s="212" t="str">
        <f t="shared" ca="1" si="48"/>
        <v/>
      </c>
      <c r="AX104" s="212">
        <f t="shared" si="49"/>
        <v>0</v>
      </c>
      <c r="AY104" s="212">
        <f t="shared" si="50"/>
        <v>97</v>
      </c>
      <c r="AZ104" s="212" t="str">
        <f t="shared" ca="1" si="51"/>
        <v/>
      </c>
      <c r="BA104" s="212" t="str">
        <f t="shared" si="29"/>
        <v/>
      </c>
      <c r="BB104" s="212" t="str">
        <f t="shared" si="52"/>
        <v/>
      </c>
      <c r="BC104" s="212" t="str">
        <f t="shared" ref="BC104:BC107" ca="1" si="53">IF($BB104&lt;&gt;"",VLOOKUP(SMALL(INDIRECT($BA$1),ROW($C97)),INDIRECT($BA$2),3,FALSE),"")</f>
        <v/>
      </c>
    </row>
    <row r="105" spans="1:55" ht="24" customHeight="1" x14ac:dyDescent="0.15">
      <c r="A105" s="234">
        <v>98</v>
      </c>
      <c r="B105" s="235" t="str">
        <f>IF($C105&lt;&gt;"",VLOOKUP($N105,マスタ!$H$4:$K$51,3,TRUE),"")</f>
        <v/>
      </c>
      <c r="C105" s="236"/>
      <c r="D105" s="236"/>
      <c r="E105" s="236"/>
      <c r="F105" s="237" t="str">
        <f>IF($R105&lt;&gt;"",IF(VLOOKUP($R105,選手登録!$A$8:$H$57,8,FALSE)&lt;&gt;"",VLOOKUP($R105,選手登録!$A$8:$H$57,8,FALSE),団体登録!$B$7),"")</f>
        <v/>
      </c>
      <c r="G105" s="238"/>
      <c r="H105" s="333" t="str">
        <f t="shared" si="31"/>
        <v/>
      </c>
      <c r="I105" s="239"/>
      <c r="J105" s="233" t="str">
        <f>IF($AC105&gt;0,リスト!$Y$22,IF($AD105=1,リスト!$Y$21,IF($AD105=2,リスト!$Y$23,IF($AE105&gt;0,リスト!$Y$18,IF($AF105&gt;0,リスト!$Y$19,IF($AG105&gt;0,リスト!$Y$20,IF($AH105&gt;0,リスト!$Y$24,IF($AI105&gt;0,リスト!$Y$25,IF($AJ105&gt;0,リスト!$Y$26,"")))))))))</f>
        <v/>
      </c>
      <c r="K105" s="211" t="s">
        <v>149</v>
      </c>
      <c r="M105" s="212">
        <f t="shared" si="32"/>
        <v>98</v>
      </c>
      <c r="N105" s="212" t="str">
        <f>IF($C105&lt;&gt;"",VLOOKUP($C105,マスタ!$L$4:$U$51,9,FALSE),"")</f>
        <v/>
      </c>
      <c r="O105" s="212" t="str">
        <f>IF($C105&lt;&gt;"",VLOOKUP($N105,マスタ!$H$4:$I$51,2,TRUE),"")</f>
        <v/>
      </c>
      <c r="P105" s="212" t="str">
        <f>IF($N105&lt;&gt;"",VLOOKUP($N105,マスタ!$T$4:$W$51,3,FALSE),"")</f>
        <v/>
      </c>
      <c r="Q105" s="212" t="str">
        <f>IF($N105&lt;&gt;"",VLOOKUP($N105,マスタ!$T$4:$W$51,4,FALSE),"")</f>
        <v/>
      </c>
      <c r="R105" s="212" t="str">
        <f>IF($D105&lt;&gt;"",VLOOKUP($D105,選手登録!$N$8:$P$57,3,FALSE),"")</f>
        <v/>
      </c>
      <c r="S105" s="212" t="str">
        <f>IF($R105&lt;&gt;"",VLOOKUP($R105,選手登録!$M$8:$V$57,6,FALSE),"")</f>
        <v/>
      </c>
      <c r="T105" s="212" t="str">
        <f>IF($R105&lt;&gt;"",VLOOKUP($R105,選手登録!$M$8:$V$57,7,FALSE),"")</f>
        <v/>
      </c>
      <c r="U105" s="212" t="str">
        <f>IF($R105&lt;&gt;"",IF(VLOOKUP($R105,選手登録!$M$8:$U$57,9,FALSE)&lt;&gt;"",1,0),"")</f>
        <v/>
      </c>
      <c r="V105" s="212" t="str">
        <f>IF($E105&lt;&gt;"",VLOOKUP($E105,馬匹登録!$L$8:$N$57,3,FALSE),"")</f>
        <v/>
      </c>
      <c r="W105" s="212" t="str">
        <f>IF($V105&lt;&gt;"",IF(VLOOKUP($V105,馬匹登録!$N$8:$O$57,2,FALSE)&lt;&gt;"",1,0),"")</f>
        <v/>
      </c>
      <c r="X105" s="212" t="str">
        <f>IF($V105&lt;&gt;"",IF(VLOOKUP($V105,馬匹登録!$N$8:$Q$57,3,FALSE)&lt;&gt;"",1,0),"")</f>
        <v/>
      </c>
      <c r="Y105" s="212" t="str">
        <f>IF($V105&lt;&gt;"",IF(VLOOKUP($V105,馬匹登録!$N$8:$Q$57,4,FALSE)&lt;&gt;"",1,0),"")</f>
        <v/>
      </c>
      <c r="Z105" s="212" t="str">
        <f>IF($G105&lt;&gt;"",VLOOKUP($G105,リスト!$J$2:$K$5,2,FALSE),"")</f>
        <v/>
      </c>
      <c r="AA105" s="212" t="str">
        <f>IF($E105&lt;&gt;"",IFERROR(VLOOKUP($N105,マスタ!$H$4:$R$51,7+VLOOKUP($G105,リスト!$J$2:$K$5,2,FALSE),FALSE),"-"),"")</f>
        <v/>
      </c>
      <c r="AB105" s="212" t="str">
        <f t="shared" si="33"/>
        <v/>
      </c>
      <c r="AC105" s="212">
        <f>IF($AC$6=1,IFERROR(IF(AND($N105&lt;&gt;"",$R105&lt;&gt;""),IF(VLOOKUP($N105,マスタ!$T$4:$AC$51,4+$S105,FALSE)=0,1,0),0),1),0)</f>
        <v>0</v>
      </c>
      <c r="AD105" s="212">
        <f t="shared" si="34"/>
        <v>0</v>
      </c>
      <c r="AE105" s="212">
        <f>IF($AE$6=1,IFERROR(IF($G105="社馬連",IF(IFERROR(VLOOKUP($F105,リスト!$F$10:$H$51,2,FALSE),2)&lt;&gt;0,1,0),0),1),0)</f>
        <v>0</v>
      </c>
      <c r="AF105" s="212">
        <f t="shared" si="35"/>
        <v>0</v>
      </c>
      <c r="AG105" s="212">
        <f t="shared" si="36"/>
        <v>0</v>
      </c>
      <c r="AH105" s="212">
        <f t="shared" si="37"/>
        <v>0</v>
      </c>
      <c r="AI105" s="212">
        <f t="shared" si="38"/>
        <v>0</v>
      </c>
      <c r="AJ105" s="212">
        <f t="shared" si="39"/>
        <v>0</v>
      </c>
      <c r="AK105" s="212" t="str">
        <f t="shared" si="40"/>
        <v/>
      </c>
      <c r="AL105" s="212">
        <f t="shared" si="41"/>
        <v>0</v>
      </c>
      <c r="AM105" s="212" t="str">
        <f>IFERROR(VLOOKUP($N105,マスタ!$T$4:$AE$51,12,TRUE),"")</f>
        <v/>
      </c>
      <c r="AO105" s="212" t="str">
        <f t="shared" ca="1" si="42"/>
        <v/>
      </c>
      <c r="AP105" s="212" t="str">
        <f t="shared" ca="1" si="43"/>
        <v/>
      </c>
      <c r="AQ105" s="212" t="str">
        <f t="shared" ca="1" si="44"/>
        <v/>
      </c>
      <c r="AR105" s="212" t="str">
        <f t="shared" ca="1" si="28"/>
        <v/>
      </c>
      <c r="AS105" s="212" t="str">
        <f t="shared" ca="1" si="45"/>
        <v/>
      </c>
      <c r="AT105" s="212" t="str">
        <f t="shared" ca="1" si="46"/>
        <v/>
      </c>
      <c r="AU105" s="212" t="str">
        <f t="shared" ca="1" si="47"/>
        <v/>
      </c>
      <c r="AV105" s="212" t="str">
        <f t="shared" ca="1" si="48"/>
        <v/>
      </c>
      <c r="AX105" s="212">
        <f t="shared" si="49"/>
        <v>0</v>
      </c>
      <c r="AY105" s="212">
        <f t="shared" si="50"/>
        <v>98</v>
      </c>
      <c r="AZ105" s="212" t="str">
        <f t="shared" ca="1" si="51"/>
        <v/>
      </c>
      <c r="BA105" s="212" t="str">
        <f t="shared" si="29"/>
        <v/>
      </c>
      <c r="BB105" s="212" t="str">
        <f t="shared" si="52"/>
        <v/>
      </c>
      <c r="BC105" s="212" t="str">
        <f t="shared" ca="1" si="53"/>
        <v/>
      </c>
    </row>
    <row r="106" spans="1:55" ht="24" customHeight="1" x14ac:dyDescent="0.15">
      <c r="A106" s="234">
        <v>99</v>
      </c>
      <c r="B106" s="235" t="str">
        <f>IF($C106&lt;&gt;"",VLOOKUP($N106,マスタ!$H$4:$K$51,3,TRUE),"")</f>
        <v/>
      </c>
      <c r="C106" s="236"/>
      <c r="D106" s="236"/>
      <c r="E106" s="236"/>
      <c r="F106" s="237" t="str">
        <f>IF($R106&lt;&gt;"",IF(VLOOKUP($R106,選手登録!$A$8:$H$57,8,FALSE)&lt;&gt;"",VLOOKUP($R106,選手登録!$A$8:$H$57,8,FALSE),団体登録!$B$7),"")</f>
        <v/>
      </c>
      <c r="G106" s="238"/>
      <c r="H106" s="333" t="str">
        <f t="shared" si="31"/>
        <v/>
      </c>
      <c r="I106" s="239"/>
      <c r="J106" s="233" t="str">
        <f>IF($AC106&gt;0,リスト!$Y$22,IF($AD106=1,リスト!$Y$21,IF($AD106=2,リスト!$Y$23,IF($AE106&gt;0,リスト!$Y$18,IF($AF106&gt;0,リスト!$Y$19,IF($AG106&gt;0,リスト!$Y$20,IF($AH106&gt;0,リスト!$Y$24,IF($AI106&gt;0,リスト!$Y$25,IF($AJ106&gt;0,リスト!$Y$26,"")))))))))</f>
        <v/>
      </c>
      <c r="K106" s="211" t="s">
        <v>149</v>
      </c>
      <c r="M106" s="212">
        <f t="shared" si="32"/>
        <v>99</v>
      </c>
      <c r="N106" s="212" t="str">
        <f>IF($C106&lt;&gt;"",VLOOKUP($C106,マスタ!$L$4:$U$51,9,FALSE),"")</f>
        <v/>
      </c>
      <c r="O106" s="212" t="str">
        <f>IF($C106&lt;&gt;"",VLOOKUP($N106,マスタ!$H$4:$I$51,2,TRUE),"")</f>
        <v/>
      </c>
      <c r="P106" s="212" t="str">
        <f>IF($N106&lt;&gt;"",VLOOKUP($N106,マスタ!$T$4:$W$51,3,FALSE),"")</f>
        <v/>
      </c>
      <c r="Q106" s="212" t="str">
        <f>IF($N106&lt;&gt;"",VLOOKUP($N106,マスタ!$T$4:$W$51,4,FALSE),"")</f>
        <v/>
      </c>
      <c r="R106" s="212" t="str">
        <f>IF($D106&lt;&gt;"",VLOOKUP($D106,選手登録!$N$8:$P$57,3,FALSE),"")</f>
        <v/>
      </c>
      <c r="S106" s="212" t="str">
        <f>IF($R106&lt;&gt;"",VLOOKUP($R106,選手登録!$M$8:$V$57,6,FALSE),"")</f>
        <v/>
      </c>
      <c r="T106" s="212" t="str">
        <f>IF($R106&lt;&gt;"",VLOOKUP($R106,選手登録!$M$8:$V$57,7,FALSE),"")</f>
        <v/>
      </c>
      <c r="U106" s="212" t="str">
        <f>IF($R106&lt;&gt;"",IF(VLOOKUP($R106,選手登録!$M$8:$U$57,9,FALSE)&lt;&gt;"",1,0),"")</f>
        <v/>
      </c>
      <c r="V106" s="212" t="str">
        <f>IF($E106&lt;&gt;"",VLOOKUP($E106,馬匹登録!$L$8:$N$57,3,FALSE),"")</f>
        <v/>
      </c>
      <c r="W106" s="212" t="str">
        <f>IF($V106&lt;&gt;"",IF(VLOOKUP($V106,馬匹登録!$N$8:$O$57,2,FALSE)&lt;&gt;"",1,0),"")</f>
        <v/>
      </c>
      <c r="X106" s="212" t="str">
        <f>IF($V106&lt;&gt;"",IF(VLOOKUP($V106,馬匹登録!$N$8:$Q$57,3,FALSE)&lt;&gt;"",1,0),"")</f>
        <v/>
      </c>
      <c r="Y106" s="212" t="str">
        <f>IF($V106&lt;&gt;"",IF(VLOOKUP($V106,馬匹登録!$N$8:$Q$57,4,FALSE)&lt;&gt;"",1,0),"")</f>
        <v/>
      </c>
      <c r="Z106" s="212" t="str">
        <f>IF($G106&lt;&gt;"",VLOOKUP($G106,リスト!$J$2:$K$5,2,FALSE),"")</f>
        <v/>
      </c>
      <c r="AA106" s="212" t="str">
        <f>IF($E106&lt;&gt;"",IFERROR(VLOOKUP($N106,マスタ!$H$4:$R$51,7+VLOOKUP($G106,リスト!$J$2:$K$5,2,FALSE),FALSE),"-"),"")</f>
        <v/>
      </c>
      <c r="AB106" s="212" t="str">
        <f t="shared" si="33"/>
        <v/>
      </c>
      <c r="AC106" s="212">
        <f>IF($AC$6=1,IFERROR(IF(AND($N106&lt;&gt;"",$R106&lt;&gt;""),IF(VLOOKUP($N106,マスタ!$T$4:$AC$51,4+$S106,FALSE)=0,1,0),0),1),0)</f>
        <v>0</v>
      </c>
      <c r="AD106" s="212">
        <f t="shared" si="34"/>
        <v>0</v>
      </c>
      <c r="AE106" s="212">
        <f>IF($AE$6=1,IFERROR(IF($G106="社馬連",IF(IFERROR(VLOOKUP($F106,リスト!$F$10:$H$51,2,FALSE),2)&lt;&gt;0,1,0),0),1),0)</f>
        <v>0</v>
      </c>
      <c r="AF106" s="212">
        <f t="shared" si="35"/>
        <v>0</v>
      </c>
      <c r="AG106" s="212">
        <f t="shared" si="36"/>
        <v>0</v>
      </c>
      <c r="AH106" s="212">
        <f t="shared" si="37"/>
        <v>0</v>
      </c>
      <c r="AI106" s="212">
        <f t="shared" si="38"/>
        <v>0</v>
      </c>
      <c r="AJ106" s="212">
        <f t="shared" si="39"/>
        <v>0</v>
      </c>
      <c r="AK106" s="212" t="str">
        <f t="shared" si="40"/>
        <v/>
      </c>
      <c r="AL106" s="212">
        <f t="shared" si="41"/>
        <v>0</v>
      </c>
      <c r="AM106" s="212" t="str">
        <f>IFERROR(VLOOKUP($N106,マスタ!$T$4:$AE$51,12,TRUE),"")</f>
        <v/>
      </c>
      <c r="AO106" s="212" t="str">
        <f t="shared" ca="1" si="42"/>
        <v/>
      </c>
      <c r="AP106" s="212" t="str">
        <f t="shared" ca="1" si="43"/>
        <v/>
      </c>
      <c r="AQ106" s="212" t="str">
        <f t="shared" ca="1" si="44"/>
        <v/>
      </c>
      <c r="AR106" s="212" t="str">
        <f t="shared" ca="1" si="28"/>
        <v/>
      </c>
      <c r="AS106" s="212" t="str">
        <f t="shared" ca="1" si="45"/>
        <v/>
      </c>
      <c r="AT106" s="212" t="str">
        <f t="shared" ca="1" si="46"/>
        <v/>
      </c>
      <c r="AU106" s="212" t="str">
        <f t="shared" ca="1" si="47"/>
        <v/>
      </c>
      <c r="AV106" s="212" t="str">
        <f t="shared" ca="1" si="48"/>
        <v/>
      </c>
      <c r="AX106" s="212">
        <f t="shared" si="49"/>
        <v>0</v>
      </c>
      <c r="AY106" s="212">
        <f t="shared" si="50"/>
        <v>99</v>
      </c>
      <c r="AZ106" s="212" t="str">
        <f t="shared" ca="1" si="51"/>
        <v/>
      </c>
      <c r="BA106" s="212" t="str">
        <f t="shared" si="29"/>
        <v/>
      </c>
      <c r="BB106" s="212" t="str">
        <f t="shared" si="52"/>
        <v/>
      </c>
      <c r="BC106" s="212" t="str">
        <f t="shared" ca="1" si="53"/>
        <v/>
      </c>
    </row>
    <row r="107" spans="1:55" ht="24" customHeight="1" thickBot="1" x14ac:dyDescent="0.2">
      <c r="A107" s="240">
        <v>100</v>
      </c>
      <c r="B107" s="241" t="str">
        <f>IF($C107&lt;&gt;"",VLOOKUP($N107,マスタ!$H$4:$K$51,3,TRUE),"")</f>
        <v/>
      </c>
      <c r="C107" s="242"/>
      <c r="D107" s="242"/>
      <c r="E107" s="242"/>
      <c r="F107" s="243" t="str">
        <f>IF($R107&lt;&gt;"",IF(VLOOKUP($R107,選手登録!$A$8:$H$57,8,FALSE)&lt;&gt;"",VLOOKUP($R107,選手登録!$A$8:$H$57,8,FALSE),団体登録!$B$7),"")</f>
        <v/>
      </c>
      <c r="G107" s="244"/>
      <c r="H107" s="334" t="str">
        <f t="shared" si="31"/>
        <v/>
      </c>
      <c r="I107" s="245"/>
      <c r="J107" s="233" t="str">
        <f>IF($AC107&gt;0,リスト!$Y$22,IF($AD107=1,リスト!$Y$21,IF($AD107=2,リスト!$Y$23,IF($AE107&gt;0,リスト!$Y$18,IF($AF107&gt;0,リスト!$Y$19,IF($AG107&gt;0,リスト!$Y$20,IF($AH107&gt;0,リスト!$Y$24,IF($AI107&gt;0,リスト!$Y$25,IF($AJ107&gt;0,リスト!$Y$26,"")))))))))</f>
        <v/>
      </c>
      <c r="K107" s="211" t="s">
        <v>149</v>
      </c>
      <c r="M107" s="212">
        <f t="shared" si="32"/>
        <v>100</v>
      </c>
      <c r="N107" s="212" t="str">
        <f>IF($C107&lt;&gt;"",VLOOKUP($C107,マスタ!$L$4:$U$51,9,FALSE),"")</f>
        <v/>
      </c>
      <c r="O107" s="212" t="str">
        <f>IF($C107&lt;&gt;"",VLOOKUP($N107,マスタ!$H$4:$I$51,2,TRUE),"")</f>
        <v/>
      </c>
      <c r="P107" s="212" t="str">
        <f>IF($N107&lt;&gt;"",VLOOKUP($N107,マスタ!$T$4:$W$51,3,FALSE),"")</f>
        <v/>
      </c>
      <c r="Q107" s="212" t="str">
        <f>IF($N107&lt;&gt;"",VLOOKUP($N107,マスタ!$T$4:$W$51,4,FALSE),"")</f>
        <v/>
      </c>
      <c r="R107" s="212" t="str">
        <f>IF($D107&lt;&gt;"",VLOOKUP($D107,選手登録!$N$8:$P$57,3,FALSE),"")</f>
        <v/>
      </c>
      <c r="S107" s="212" t="str">
        <f>IF($R107&lt;&gt;"",VLOOKUP($R107,選手登録!$M$8:$V$57,6,FALSE),"")</f>
        <v/>
      </c>
      <c r="T107" s="212" t="str">
        <f>IF($R107&lt;&gt;"",VLOOKUP($R107,選手登録!$M$8:$V$57,7,FALSE),"")</f>
        <v/>
      </c>
      <c r="U107" s="212" t="str">
        <f>IF($R107&lt;&gt;"",IF(VLOOKUP($R107,選手登録!$M$8:$U$57,9,FALSE)&lt;&gt;"",1,0),"")</f>
        <v/>
      </c>
      <c r="V107" s="212" t="str">
        <f>IF($E107&lt;&gt;"",VLOOKUP($E107,馬匹登録!$L$8:$N$57,3,FALSE),"")</f>
        <v/>
      </c>
      <c r="W107" s="212" t="str">
        <f>IF($V107&lt;&gt;"",IF(VLOOKUP($V107,馬匹登録!$N$8:$O$57,2,FALSE)&lt;&gt;"",1,0),"")</f>
        <v/>
      </c>
      <c r="X107" s="212" t="str">
        <f>IF($V107&lt;&gt;"",IF(VLOOKUP($V107,馬匹登録!$N$8:$Q$57,3,FALSE)&lt;&gt;"",1,0),"")</f>
        <v/>
      </c>
      <c r="Y107" s="212" t="str">
        <f>IF($V107&lt;&gt;"",IF(VLOOKUP($V107,馬匹登録!$N$8:$Q$57,4,FALSE)&lt;&gt;"",1,0),"")</f>
        <v/>
      </c>
      <c r="Z107" s="212" t="str">
        <f>IF($G107&lt;&gt;"",VLOOKUP($G107,リスト!$J$2:$K$5,2,FALSE),"")</f>
        <v/>
      </c>
      <c r="AA107" s="212" t="str">
        <f>IF($E107&lt;&gt;"",IFERROR(VLOOKUP($N107,マスタ!$H$4:$R$51,7+VLOOKUP($G107,リスト!$J$2:$K$5,2,FALSE),FALSE),"-"),"")</f>
        <v/>
      </c>
      <c r="AB107" s="212" t="str">
        <f t="shared" si="33"/>
        <v/>
      </c>
      <c r="AC107" s="212">
        <f>IF($AC$6=1,IFERROR(IF(AND($N107&lt;&gt;"",$R107&lt;&gt;""),IF(VLOOKUP($N107,マスタ!$T$4:$AC$51,4+$S107,FALSE)=0,1,0),0),1),0)</f>
        <v>0</v>
      </c>
      <c r="AD107" s="212">
        <f t="shared" si="34"/>
        <v>0</v>
      </c>
      <c r="AE107" s="212">
        <f>IF($AE$6=1,IFERROR(IF($G107="社馬連",IF(IFERROR(VLOOKUP($F107,リスト!$F$10:$H$51,2,FALSE),2)&lt;&gt;0,1,0),0),1),0)</f>
        <v>0</v>
      </c>
      <c r="AF107" s="212">
        <f t="shared" si="35"/>
        <v>0</v>
      </c>
      <c r="AG107" s="212">
        <f t="shared" si="36"/>
        <v>0</v>
      </c>
      <c r="AH107" s="212">
        <f t="shared" si="37"/>
        <v>0</v>
      </c>
      <c r="AI107" s="212">
        <f t="shared" si="38"/>
        <v>0</v>
      </c>
      <c r="AJ107" s="212">
        <f t="shared" si="39"/>
        <v>0</v>
      </c>
      <c r="AK107" s="212" t="str">
        <f t="shared" si="40"/>
        <v/>
      </c>
      <c r="AL107" s="212">
        <f t="shared" si="41"/>
        <v>0</v>
      </c>
      <c r="AM107" s="212" t="str">
        <f>IFERROR(VLOOKUP($N107,マスタ!$T$4:$AE$51,12,TRUE),"")</f>
        <v/>
      </c>
      <c r="AO107" s="212" t="str">
        <f t="shared" ca="1" si="42"/>
        <v/>
      </c>
      <c r="AP107" s="212" t="str">
        <f t="shared" ca="1" si="43"/>
        <v/>
      </c>
      <c r="AQ107" s="212" t="str">
        <f t="shared" ca="1" si="44"/>
        <v/>
      </c>
      <c r="AR107" s="212" t="str">
        <f t="shared" ca="1" si="28"/>
        <v/>
      </c>
      <c r="AS107" s="212" t="str">
        <f t="shared" ca="1" si="45"/>
        <v/>
      </c>
      <c r="AT107" s="212" t="str">
        <f t="shared" ca="1" si="46"/>
        <v/>
      </c>
      <c r="AU107" s="212" t="str">
        <f t="shared" ca="1" si="47"/>
        <v/>
      </c>
      <c r="AV107" s="212" t="str">
        <f t="shared" ca="1" si="48"/>
        <v/>
      </c>
      <c r="AX107" s="212">
        <f t="shared" si="49"/>
        <v>0</v>
      </c>
      <c r="AY107" s="212">
        <f t="shared" si="50"/>
        <v>100</v>
      </c>
      <c r="AZ107" s="212" t="str">
        <f t="shared" ca="1" si="51"/>
        <v/>
      </c>
      <c r="BA107" s="212" t="str">
        <f t="shared" si="29"/>
        <v/>
      </c>
      <c r="BB107" s="212" t="str">
        <f t="shared" si="52"/>
        <v/>
      </c>
      <c r="BC107" s="212" t="str">
        <f t="shared" ca="1" si="53"/>
        <v/>
      </c>
    </row>
    <row r="108" spans="1:55" x14ac:dyDescent="0.15">
      <c r="E108" s="347"/>
    </row>
  </sheetData>
  <sheetProtection algorithmName="SHA-512" hashValue="iLZ1FSoo4YYWTdUtNJYGVmQrB7Sz7mS67kwbIrD9BmxtO0C8XckkUrt8XJeHrkpeDbh8LW4RVhoe999NpdyWjQ==" saltValue="3VEKdLk8OxL0wFNy1TEJCw==" spinCount="100000" sheet="1" autoFilter="0"/>
  <mergeCells count="11">
    <mergeCell ref="J6:J7"/>
    <mergeCell ref="A4:C4"/>
    <mergeCell ref="A6:A7"/>
    <mergeCell ref="B6:B7"/>
    <mergeCell ref="C6:C7"/>
    <mergeCell ref="D6:D7"/>
    <mergeCell ref="E6:E7"/>
    <mergeCell ref="F6:F7"/>
    <mergeCell ref="G6:G7"/>
    <mergeCell ref="H6:H7"/>
    <mergeCell ref="I6:I7"/>
  </mergeCells>
  <phoneticPr fontId="4"/>
  <dataValidations count="1">
    <dataValidation type="list" allowBlank="1" showInputMessage="1" showErrorMessage="1" sqref="G8:G107">
      <formula1>INDIRECT(AM8)</formula1>
    </dataValidation>
  </dataValidations>
  <printOptions horizontalCentered="1"/>
  <pageMargins left="0.31496062992125984" right="0.31496062992125984" top="0.39370078740157483" bottom="0.39370078740157483" header="0.19685039370078741" footer="0.19685039370078741"/>
  <pageSetup paperSize="9" scale="54" fitToHeight="0" orientation="landscape" horizontalDpi="1200" verticalDpi="1200" r:id="rId1"/>
  <headerFooter>
    <oddFooter>&amp;P / &amp;N ページ</oddFooter>
  </headerFooter>
  <rowBreaks count="3" manualBreakCount="3">
    <brk id="32" max="9" man="1"/>
    <brk id="57" max="9" man="1"/>
    <brk id="82" max="9" man="1"/>
  </rowBreaks>
  <extLst>
    <ext xmlns:x14="http://schemas.microsoft.com/office/spreadsheetml/2009/9/main" uri="{CCE6A557-97BC-4b89-ADB6-D9C93CAAB3DF}">
      <x14:dataValidations xmlns:xm="http://schemas.microsoft.com/office/excel/2006/main" count="5">
        <x14:dataValidation type="list" allowBlank="1" showInputMessage="1" showErrorMessage="1">
          <x14:formula1>
            <xm:f>INDIRECT(選手登録!$AD$2)</xm:f>
          </x14:formula1>
          <xm:sqref>D8:D107</xm:sqref>
        </x14:dataValidation>
        <x14:dataValidation type="list" allowBlank="1" showInputMessage="1" showErrorMessage="1">
          <x14:formula1>
            <xm:f>INDIRECT(馬匹登録!$AC$3)</xm:f>
          </x14:formula1>
          <xm:sqref>E8:E107</xm:sqref>
        </x14:dataValidation>
        <x14:dataValidation type="list" allowBlank="1" showInputMessage="1" showErrorMessage="1">
          <x14:formula1>
            <xm:f>INDIRECT(馬匹登録!#REF!)</xm:f>
          </x14:formula1>
          <xm:sqref>E108</xm:sqref>
        </x14:dataValidation>
        <x14:dataValidation type="list" allowBlank="1" showInputMessage="1">
          <x14:formula1>
            <xm:f>リスト!$V$2:$V$42</xm:f>
          </x14:formula1>
          <xm:sqref>I8:I107</xm:sqref>
        </x14:dataValidation>
        <x14:dataValidation type="list" allowBlank="1" showInputMessage="1" showErrorMessage="1">
          <x14:formula1>
            <xm:f>マスタ!$L$4:$L$50</xm:f>
          </x14:formula1>
          <xm:sqref>C8:C107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N21"/>
  <sheetViews>
    <sheetView view="pageBreakPreview" zoomScaleNormal="100" zoomScaleSheetLayoutView="100" workbookViewId="0">
      <selection activeCell="B7" sqref="B7"/>
    </sheetView>
  </sheetViews>
  <sheetFormatPr defaultRowHeight="18.75" x14ac:dyDescent="0.4"/>
  <cols>
    <col min="1" max="1" width="3" customWidth="1"/>
    <col min="2" max="2" width="18" customWidth="1"/>
    <col min="3" max="3" width="22.25" customWidth="1"/>
    <col min="4" max="4" width="7.25" customWidth="1"/>
    <col min="5" max="5" width="8.375" customWidth="1"/>
    <col min="6" max="10" width="15.625" customWidth="1"/>
    <col min="11" max="11" width="23.375" customWidth="1"/>
    <col min="13" max="14" width="9" customWidth="1"/>
  </cols>
  <sheetData>
    <row r="1" spans="1:14" ht="24" x14ac:dyDescent="0.5">
      <c r="A1" s="117" t="str">
        <f>"第"&amp;マスタ!$C$4&amp;"回 キャロットステークス"</f>
        <v>第44回 キャロットステークス</v>
      </c>
    </row>
    <row r="2" spans="1:14" x14ac:dyDescent="0.4">
      <c r="A2" s="520" t="s">
        <v>64</v>
      </c>
      <c r="B2" s="521"/>
      <c r="C2" s="521"/>
      <c r="D2" s="521"/>
      <c r="E2" s="521"/>
      <c r="F2" s="521"/>
      <c r="G2" s="521"/>
      <c r="H2" s="521"/>
      <c r="I2" s="521"/>
      <c r="J2" s="521"/>
      <c r="K2" s="521"/>
      <c r="M2" s="44" t="s">
        <v>61</v>
      </c>
      <c r="N2" s="44">
        <f>COUNTA($B$7:$B$11)</f>
        <v>0</v>
      </c>
    </row>
    <row r="3" spans="1:14" ht="24" customHeight="1" x14ac:dyDescent="0.4">
      <c r="A3" s="532" t="str">
        <f>"団体名：" &amp; 団体登録!B7</f>
        <v>団体名：</v>
      </c>
      <c r="B3" s="532"/>
      <c r="C3" s="532"/>
      <c r="D3" s="532"/>
      <c r="E3" s="532"/>
      <c r="I3" t="str">
        <f>"宿泊者数："&amp;IF(N2&lt;&gt;0,N2, "    ")&amp;"名   合計宿泊数："&amp;IF(N3&lt;&gt;0,N3,"    ")&amp;"泊"</f>
        <v>宿泊者数：    名   合計宿泊数：    泊</v>
      </c>
      <c r="M3" s="44" t="s">
        <v>62</v>
      </c>
      <c r="N3" s="44">
        <f>COUNTA($F$7:$J$11)</f>
        <v>0</v>
      </c>
    </row>
    <row r="4" spans="1:14" ht="8.25" customHeight="1" thickBot="1" x14ac:dyDescent="0.45"/>
    <row r="5" spans="1:14" x14ac:dyDescent="0.4">
      <c r="A5" s="161"/>
      <c r="B5" s="527" t="s">
        <v>58</v>
      </c>
      <c r="C5" s="528"/>
      <c r="D5" s="528"/>
      <c r="E5" s="529"/>
      <c r="F5" s="527" t="s">
        <v>53</v>
      </c>
      <c r="G5" s="528"/>
      <c r="H5" s="528"/>
      <c r="I5" s="528"/>
      <c r="J5" s="529"/>
      <c r="K5" s="530" t="s">
        <v>17</v>
      </c>
    </row>
    <row r="6" spans="1:14" x14ac:dyDescent="0.4">
      <c r="A6" s="162"/>
      <c r="B6" s="163" t="s">
        <v>56</v>
      </c>
      <c r="C6" s="164" t="s">
        <v>57</v>
      </c>
      <c r="D6" s="164" t="s">
        <v>54</v>
      </c>
      <c r="E6" s="165" t="s">
        <v>55</v>
      </c>
      <c r="F6" s="39" t="s">
        <v>60</v>
      </c>
      <c r="G6" s="348" t="str">
        <f>マスタ!F6</f>
        <v>9月29日(金)</v>
      </c>
      <c r="H6" s="348" t="str">
        <f>マスタ!F7</f>
        <v>9月30日(土)</v>
      </c>
      <c r="I6" s="40" t="s">
        <v>59</v>
      </c>
      <c r="J6" s="41" t="s">
        <v>59</v>
      </c>
      <c r="K6" s="531"/>
    </row>
    <row r="7" spans="1:14" ht="27" customHeight="1" x14ac:dyDescent="0.4">
      <c r="A7" s="162">
        <v>1</v>
      </c>
      <c r="B7" s="29"/>
      <c r="C7" s="30"/>
      <c r="D7" s="31"/>
      <c r="E7" s="32"/>
      <c r="F7" s="33"/>
      <c r="G7" s="31"/>
      <c r="H7" s="31"/>
      <c r="I7" s="31"/>
      <c r="J7" s="32"/>
      <c r="K7" s="42"/>
    </row>
    <row r="8" spans="1:14" ht="27" customHeight="1" x14ac:dyDescent="0.4">
      <c r="A8" s="162">
        <v>2</v>
      </c>
      <c r="B8" s="29"/>
      <c r="C8" s="30"/>
      <c r="D8" s="31"/>
      <c r="E8" s="32"/>
      <c r="F8" s="33"/>
      <c r="G8" s="31"/>
      <c r="H8" s="31"/>
      <c r="I8" s="31"/>
      <c r="J8" s="32"/>
      <c r="K8" s="42"/>
    </row>
    <row r="9" spans="1:14" ht="27" customHeight="1" x14ac:dyDescent="0.4">
      <c r="A9" s="162">
        <v>3</v>
      </c>
      <c r="B9" s="29"/>
      <c r="C9" s="30"/>
      <c r="D9" s="31"/>
      <c r="E9" s="32"/>
      <c r="F9" s="33"/>
      <c r="G9" s="31"/>
      <c r="H9" s="31"/>
      <c r="I9" s="31"/>
      <c r="J9" s="32"/>
      <c r="K9" s="42"/>
    </row>
    <row r="10" spans="1:14" ht="27" customHeight="1" x14ac:dyDescent="0.4">
      <c r="A10" s="162">
        <v>4</v>
      </c>
      <c r="B10" s="29"/>
      <c r="C10" s="30"/>
      <c r="D10" s="31"/>
      <c r="E10" s="32"/>
      <c r="F10" s="33"/>
      <c r="G10" s="31"/>
      <c r="H10" s="31"/>
      <c r="I10" s="31"/>
      <c r="J10" s="32"/>
      <c r="K10" s="42"/>
    </row>
    <row r="11" spans="1:14" ht="27" customHeight="1" thickBot="1" x14ac:dyDescent="0.45">
      <c r="A11" s="166">
        <v>5</v>
      </c>
      <c r="B11" s="34"/>
      <c r="C11" s="35"/>
      <c r="D11" s="36"/>
      <c r="E11" s="37"/>
      <c r="F11" s="38"/>
      <c r="G11" s="36"/>
      <c r="H11" s="36"/>
      <c r="I11" s="36"/>
      <c r="J11" s="37"/>
      <c r="K11" s="43"/>
    </row>
    <row r="13" spans="1:14" x14ac:dyDescent="0.4">
      <c r="B13" t="s">
        <v>70</v>
      </c>
      <c r="C13" t="str">
        <f>マスタ!D12&amp;"までに申し込むこと。"</f>
        <v>2023年9月27日(水)までに申し込むこと。</v>
      </c>
      <c r="G13" t="s">
        <v>69</v>
      </c>
      <c r="H13" s="522" t="s">
        <v>65</v>
      </c>
      <c r="I13" s="523"/>
      <c r="J13" s="523"/>
      <c r="K13" s="523"/>
    </row>
    <row r="14" spans="1:14" x14ac:dyDescent="0.4">
      <c r="B14" t="s">
        <v>71</v>
      </c>
      <c r="C14" t="str">
        <f>"１泊 "&amp;マスタ!C18&amp;"円(素泊り)"</f>
        <v>１泊 1200円(素泊り)</v>
      </c>
      <c r="H14" s="522" t="s">
        <v>66</v>
      </c>
      <c r="I14" s="523"/>
      <c r="J14" s="523"/>
      <c r="K14" s="523"/>
    </row>
    <row r="15" spans="1:14" x14ac:dyDescent="0.4">
      <c r="C15" t="s">
        <v>72</v>
      </c>
      <c r="H15" s="524" t="s">
        <v>1846</v>
      </c>
      <c r="I15" s="523"/>
      <c r="J15" s="523"/>
      <c r="K15" s="523"/>
    </row>
    <row r="16" spans="1:14" x14ac:dyDescent="0.4">
      <c r="H16" s="522" t="s">
        <v>1843</v>
      </c>
      <c r="I16" s="523"/>
      <c r="J16" s="523"/>
      <c r="K16" s="523"/>
    </row>
    <row r="17" spans="2:11" x14ac:dyDescent="0.4">
      <c r="B17" s="533" t="s">
        <v>1847</v>
      </c>
      <c r="C17" s="533"/>
      <c r="D17" s="533"/>
      <c r="E17" s="533"/>
      <c r="F17" s="533"/>
      <c r="H17" s="525" t="s">
        <v>1848</v>
      </c>
      <c r="I17" s="526"/>
      <c r="J17" s="526"/>
      <c r="K17" s="526"/>
    </row>
    <row r="18" spans="2:11" x14ac:dyDescent="0.4">
      <c r="B18" s="533"/>
      <c r="C18" s="533"/>
      <c r="D18" s="533"/>
      <c r="E18" s="533"/>
      <c r="F18" s="533"/>
      <c r="H18" s="522" t="s">
        <v>67</v>
      </c>
      <c r="I18" s="523"/>
      <c r="J18" s="523"/>
      <c r="K18" s="523"/>
    </row>
    <row r="19" spans="2:11" x14ac:dyDescent="0.4">
      <c r="B19" s="109" t="s">
        <v>1735</v>
      </c>
      <c r="H19" s="522" t="s">
        <v>68</v>
      </c>
      <c r="I19" s="523"/>
      <c r="J19" s="523"/>
      <c r="K19" s="523"/>
    </row>
    <row r="20" spans="2:11" x14ac:dyDescent="0.4">
      <c r="H20" s="521" t="s">
        <v>73</v>
      </c>
      <c r="I20" s="521"/>
      <c r="J20" s="521"/>
      <c r="K20" s="521"/>
    </row>
    <row r="21" spans="2:11" x14ac:dyDescent="0.4">
      <c r="H21" s="521"/>
      <c r="I21" s="521"/>
      <c r="J21" s="521"/>
      <c r="K21" s="521"/>
    </row>
  </sheetData>
  <sheetProtection algorithmName="SHA-512" hashValue="dtfbuNo6jEDB9wDWmXqdIDE+ltgZ7UD0kRZehtg3kwvYdwGnYvyO9cdhs3+mG72enq+Ha8hbRsguZ3a27ZApeA==" saltValue="MLIaMHSQsu/yBPo7lutJ6w==" spinCount="100000" sheet="1" objects="1" scenarios="1" autoFilter="0"/>
  <mergeCells count="15">
    <mergeCell ref="A2:K2"/>
    <mergeCell ref="H20:K20"/>
    <mergeCell ref="H21:K21"/>
    <mergeCell ref="H14:K14"/>
    <mergeCell ref="H15:K15"/>
    <mergeCell ref="H16:K16"/>
    <mergeCell ref="H17:K17"/>
    <mergeCell ref="H18:K18"/>
    <mergeCell ref="H19:K19"/>
    <mergeCell ref="H13:K13"/>
    <mergeCell ref="B5:E5"/>
    <mergeCell ref="F5:J5"/>
    <mergeCell ref="K5:K6"/>
    <mergeCell ref="A3:E3"/>
    <mergeCell ref="B17:F18"/>
  </mergeCells>
  <phoneticPr fontId="4"/>
  <dataValidations count="2">
    <dataValidation type="list" allowBlank="1" showInputMessage="1" showErrorMessage="1" sqref="G7:H11">
      <formula1>"○,"</formula1>
    </dataValidation>
    <dataValidation type="list" allowBlank="1" showInputMessage="1" sqref="E7:E11">
      <formula1>"男性,女性,その他"</formula1>
    </dataValidation>
  </dataValidations>
  <printOptions horizontalCentered="1"/>
  <pageMargins left="0.70866141732283472" right="0.70866141732283472" top="0.74803149606299213" bottom="0.74803149606299213" header="0.31496062992125984" footer="0.31496062992125984"/>
  <pageSetup paperSize="9" scale="74"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39997558519241921"/>
  </sheetPr>
  <dimension ref="A1:AB202"/>
  <sheetViews>
    <sheetView view="pageBreakPreview" zoomScaleNormal="100" zoomScaleSheetLayoutView="100" workbookViewId="0">
      <selection activeCell="A2" sqref="A2"/>
    </sheetView>
  </sheetViews>
  <sheetFormatPr defaultRowHeight="18.75" x14ac:dyDescent="0.4"/>
  <cols>
    <col min="1" max="1" width="4" customWidth="1"/>
    <col min="2" max="2" width="35.625" customWidth="1"/>
    <col min="3" max="3" width="6.875" customWidth="1"/>
    <col min="5" max="5" width="12.25" customWidth="1"/>
    <col min="6" max="7" width="5.625" customWidth="1"/>
    <col min="8" max="8" width="12.75" customWidth="1"/>
    <col min="9" max="9" width="14.25" customWidth="1"/>
    <col min="10" max="10" width="6.875" customWidth="1"/>
    <col min="11" max="11" width="38.75" customWidth="1"/>
    <col min="12" max="12" width="4.625" customWidth="1"/>
    <col min="13" max="13" width="11.75" customWidth="1"/>
    <col min="16" max="16" width="5.25" hidden="1" customWidth="1"/>
    <col min="17" max="18" width="7.125" hidden="1" customWidth="1"/>
    <col min="19" max="23" width="9" hidden="1" customWidth="1"/>
    <col min="24" max="24" width="15.125" hidden="1" customWidth="1"/>
    <col min="25" max="25" width="27.625" hidden="1" customWidth="1"/>
    <col min="26" max="28" width="9" hidden="1" customWidth="1"/>
    <col min="29" max="29" width="9" customWidth="1"/>
  </cols>
  <sheetData>
    <row r="1" spans="1:28" s="46" customFormat="1" ht="24" customHeight="1" x14ac:dyDescent="0.4">
      <c r="A1" s="413" t="s">
        <v>294</v>
      </c>
    </row>
    <row r="2" spans="1:28" s="46" customFormat="1" ht="24" customHeight="1" x14ac:dyDescent="0.4">
      <c r="A2" s="413" t="s">
        <v>1852</v>
      </c>
    </row>
    <row r="3" spans="1:28" ht="27" customHeight="1" x14ac:dyDescent="0.4">
      <c r="A3" s="265" t="s">
        <v>128</v>
      </c>
      <c r="B3" s="265"/>
      <c r="C3" s="265"/>
      <c r="D3" s="265"/>
      <c r="E3" s="265"/>
      <c r="F3" s="265"/>
      <c r="G3" s="265"/>
      <c r="H3" s="265"/>
      <c r="I3" s="265"/>
      <c r="J3" s="265"/>
      <c r="K3" s="265"/>
      <c r="L3" s="265"/>
      <c r="M3" s="266"/>
    </row>
    <row r="4" spans="1:28" ht="37.5" customHeight="1" x14ac:dyDescent="0.4">
      <c r="A4" s="44"/>
      <c r="B4" s="27" t="s">
        <v>34</v>
      </c>
      <c r="C4" s="27" t="s">
        <v>55</v>
      </c>
      <c r="D4" s="27" t="s">
        <v>129</v>
      </c>
      <c r="E4" s="27" t="s">
        <v>130</v>
      </c>
      <c r="F4" s="566" t="s">
        <v>131</v>
      </c>
      <c r="G4" s="567"/>
      <c r="H4" s="45" t="s">
        <v>1851</v>
      </c>
      <c r="I4" s="45" t="s">
        <v>133</v>
      </c>
      <c r="J4" s="566" t="s">
        <v>134</v>
      </c>
      <c r="K4" s="568"/>
      <c r="L4" s="568"/>
      <c r="M4" s="567"/>
      <c r="P4" s="44" t="s">
        <v>24</v>
      </c>
      <c r="Q4" s="44" t="s">
        <v>351</v>
      </c>
      <c r="R4" s="44" t="s">
        <v>350</v>
      </c>
      <c r="S4" s="44" t="str">
        <f>B4</f>
        <v>馬名</v>
      </c>
      <c r="T4" s="44" t="str">
        <f t="shared" ref="T4:W4" si="0">C4</f>
        <v>性別</v>
      </c>
      <c r="U4" s="44" t="str">
        <f t="shared" si="0"/>
        <v>毛色</v>
      </c>
      <c r="V4" s="44" t="str">
        <f t="shared" si="0"/>
        <v>種類</v>
      </c>
      <c r="W4" s="44" t="str">
        <f t="shared" si="0"/>
        <v>産地</v>
      </c>
      <c r="X4" s="44" t="str">
        <f>H4</f>
        <v>最終伝貧
検査日(※)</v>
      </c>
      <c r="Y4" s="44" t="str">
        <f>I4</f>
        <v>日本脳炎予防
ワクチン接種日</v>
      </c>
      <c r="Z4" s="44" t="str">
        <f>J4</f>
        <v>基礎・補強終了後のすべてのインフルエンザ予防接種暦</v>
      </c>
      <c r="AA4" s="44"/>
      <c r="AB4" s="44"/>
    </row>
    <row r="5" spans="1:28" ht="15" customHeight="1" x14ac:dyDescent="0.4">
      <c r="A5" s="536">
        <v>1</v>
      </c>
      <c r="B5" s="539" t="str">
        <f ca="1">IF(OFFSET(馬匹登録!$AC$7,A5,0)&lt;&gt;"",OFFSET(馬匹登録!$AC$7,A5,0),"")</f>
        <v/>
      </c>
      <c r="C5" s="542"/>
      <c r="D5" s="545"/>
      <c r="E5" s="545"/>
      <c r="F5" s="546"/>
      <c r="G5" s="547"/>
      <c r="H5" s="552"/>
      <c r="I5" s="552"/>
      <c r="J5" s="555"/>
      <c r="K5" s="556"/>
      <c r="L5" s="556"/>
      <c r="M5" s="557"/>
      <c r="P5" s="44">
        <v>1</v>
      </c>
      <c r="Q5" s="44">
        <f>P5*3+1+INT((P5-1)/10)*10</f>
        <v>4</v>
      </c>
      <c r="R5" s="44" cm="1">
        <f t="array" aca="1" ref="R5" ca="1">INDIRECT(ADDRESS($Q5,1))</f>
        <v>0</v>
      </c>
      <c r="S5" s="44" t="str" cm="1">
        <f t="array" aca="1" ref="S5" ca="1">IF(INDIRECT(ADDRESS($Q5,2))&lt;&gt;"",INDIRECT(ADDRESS($Q5,2)),"")</f>
        <v>馬名</v>
      </c>
      <c r="T5" s="44" t="str" cm="1">
        <f t="array" aca="1" ref="T5" ca="1">IF($S5&lt;&gt;"",INDIRECT(ADDRESS($Q5,3)),"")</f>
        <v>性別</v>
      </c>
      <c r="U5" s="44" t="str" cm="1">
        <f t="array" aca="1" ref="U5" ca="1">IF($S5&lt;&gt;"",INDIRECT(ADDRESS($Q5,4)),"")</f>
        <v>毛色</v>
      </c>
      <c r="V5" s="44" t="str" cm="1">
        <f t="array" aca="1" ref="V5" ca="1">IF($S5&lt;&gt;"",INDIRECT(ADDRESS($Q5,5)),"")</f>
        <v>種類</v>
      </c>
      <c r="W5" s="44" t="str" cm="1">
        <f t="array" aca="1" ref="W5" ca="1">IF($S5&lt;&gt;"",INDIRECT(ADDRESS($Q5,6)),"")</f>
        <v>産地</v>
      </c>
      <c r="X5" s="44" t="str" cm="1">
        <f t="array" aca="1" ref="X5" ca="1">IF($S5&lt;&gt;"",INDIRECT(ADDRESS($Q5,8)),"")</f>
        <v>最終伝貧
検査日(※)</v>
      </c>
      <c r="Y5" s="44" t="str" cm="1">
        <f t="array" aca="1" ref="Y5" ca="1">IF($S5&lt;&gt;"",INDIRECT(ADDRESS($Q5,9)),"")</f>
        <v>日本脳炎予防
ワクチン接種日</v>
      </c>
      <c r="Z5" s="44" t="str" cm="1">
        <f t="array" aca="1" ref="Z5" ca="1">IF($S5&lt;&gt;"",INDIRECT(ADDRESS($Q5,10)),"")</f>
        <v>基礎・補強終了後のすべてのインフルエンザ予防接種暦</v>
      </c>
      <c r="AA5" s="44" cm="1">
        <f t="array" aca="1" ref="AA5" ca="1">IF($S5&lt;&gt;"",INDIRECT(ADDRESS($Q5+1,10)),"")</f>
        <v>0</v>
      </c>
      <c r="AB5" s="44" cm="1">
        <f t="array" aca="1" ref="AB5" ca="1">IF($S5&lt;&gt;"",INDIRECT(ADDRESS($Q5+2,10)),"")</f>
        <v>0</v>
      </c>
    </row>
    <row r="6" spans="1:28" ht="15" customHeight="1" x14ac:dyDescent="0.4">
      <c r="A6" s="537"/>
      <c r="B6" s="540"/>
      <c r="C6" s="543"/>
      <c r="D6" s="543"/>
      <c r="E6" s="543"/>
      <c r="F6" s="548"/>
      <c r="G6" s="549"/>
      <c r="H6" s="553"/>
      <c r="I6" s="553"/>
      <c r="J6" s="558"/>
      <c r="K6" s="559"/>
      <c r="L6" s="559"/>
      <c r="M6" s="560"/>
      <c r="P6" s="44">
        <v>2</v>
      </c>
      <c r="Q6" s="44">
        <f t="shared" ref="Q6:Q54" si="1">P6*3+1+INT((P6-1)/10)*10</f>
        <v>7</v>
      </c>
      <c r="R6" s="44" cm="1">
        <f t="array" aca="1" ref="R6" ca="1">INDIRECT(ADDRESS($Q6,1))</f>
        <v>0</v>
      </c>
      <c r="S6" s="44" t="str" cm="1">
        <f t="array" aca="1" ref="S6" ca="1">IF(INDIRECT(ADDRESS($Q6,2))&lt;&gt;"",INDIRECT(ADDRESS($Q6,2)),"")</f>
        <v/>
      </c>
      <c r="T6" s="44" t="str" cm="1">
        <f t="array" aca="1" ref="T6" ca="1">IF($S6&lt;&gt;"",INDIRECT(ADDRESS($Q6,3)),"")</f>
        <v/>
      </c>
      <c r="U6" s="44" t="str" cm="1">
        <f t="array" aca="1" ref="U6" ca="1">IF($S6&lt;&gt;"",INDIRECT(ADDRESS($Q6,4)),"")</f>
        <v/>
      </c>
      <c r="V6" s="44" t="str" cm="1">
        <f t="array" aca="1" ref="V6" ca="1">IF($S6&lt;&gt;"",INDIRECT(ADDRESS($Q6,5)),"")</f>
        <v/>
      </c>
      <c r="W6" s="44" t="str" cm="1">
        <f t="array" aca="1" ref="W6" ca="1">IF($S6&lt;&gt;"",INDIRECT(ADDRESS($Q6,6)),"")</f>
        <v/>
      </c>
      <c r="X6" s="44" t="str" cm="1">
        <f t="array" aca="1" ref="X6" ca="1">IF($S6&lt;&gt;"",INDIRECT(ADDRESS($Q6,8)),"")</f>
        <v/>
      </c>
      <c r="Y6" s="44" t="str" cm="1">
        <f t="array" aca="1" ref="Y6" ca="1">IF($S6&lt;&gt;"",INDIRECT(ADDRESS($Q6,9)),"")</f>
        <v/>
      </c>
      <c r="Z6" s="44" t="str" cm="1">
        <f t="array" aca="1" ref="Z6" ca="1">IF($S6&lt;&gt;"",INDIRECT(ADDRESS($Q6,10)),"")</f>
        <v/>
      </c>
      <c r="AA6" s="44" t="str" cm="1">
        <f t="array" aca="1" ref="AA6" ca="1">IF($S6&lt;&gt;"",INDIRECT(ADDRESS($Q6+1,10)),"")</f>
        <v/>
      </c>
      <c r="AB6" s="44" t="str" cm="1">
        <f t="array" aca="1" ref="AB6" ca="1">IF($S6&lt;&gt;"",INDIRECT(ADDRESS($Q6+2,10)),"")</f>
        <v/>
      </c>
    </row>
    <row r="7" spans="1:28" ht="15" customHeight="1" x14ac:dyDescent="0.4">
      <c r="A7" s="538"/>
      <c r="B7" s="541"/>
      <c r="C7" s="544"/>
      <c r="D7" s="544"/>
      <c r="E7" s="544"/>
      <c r="F7" s="550"/>
      <c r="G7" s="551"/>
      <c r="H7" s="554"/>
      <c r="I7" s="554"/>
      <c r="J7" s="561"/>
      <c r="K7" s="562"/>
      <c r="L7" s="562"/>
      <c r="M7" s="563"/>
      <c r="P7" s="44">
        <v>3</v>
      </c>
      <c r="Q7" s="44">
        <f t="shared" si="1"/>
        <v>10</v>
      </c>
      <c r="R7" s="44" cm="1">
        <f t="array" aca="1" ref="R7" ca="1">INDIRECT(ADDRESS($Q7,1))</f>
        <v>0</v>
      </c>
      <c r="S7" s="44" t="str" cm="1">
        <f t="array" aca="1" ref="S7" ca="1">IF(INDIRECT(ADDRESS($Q7,2))&lt;&gt;"",INDIRECT(ADDRESS($Q7,2)),"")</f>
        <v/>
      </c>
      <c r="T7" s="44" t="str" cm="1">
        <f t="array" aca="1" ref="T7" ca="1">IF($S7&lt;&gt;"",INDIRECT(ADDRESS($Q7,3)),"")</f>
        <v/>
      </c>
      <c r="U7" s="44" t="str" cm="1">
        <f t="array" aca="1" ref="U7" ca="1">IF($S7&lt;&gt;"",INDIRECT(ADDRESS($Q7,4)),"")</f>
        <v/>
      </c>
      <c r="V7" s="44" t="str" cm="1">
        <f t="array" aca="1" ref="V7" ca="1">IF($S7&lt;&gt;"",INDIRECT(ADDRESS($Q7,5)),"")</f>
        <v/>
      </c>
      <c r="W7" s="44" t="str" cm="1">
        <f t="array" aca="1" ref="W7" ca="1">IF($S7&lt;&gt;"",INDIRECT(ADDRESS($Q7,6)),"")</f>
        <v/>
      </c>
      <c r="X7" s="44" t="str" cm="1">
        <f t="array" aca="1" ref="X7" ca="1">IF($S7&lt;&gt;"",INDIRECT(ADDRESS($Q7,8)),"")</f>
        <v/>
      </c>
      <c r="Y7" s="44" t="str" cm="1">
        <f t="array" aca="1" ref="Y7" ca="1">IF($S7&lt;&gt;"",INDIRECT(ADDRESS($Q7,9)),"")</f>
        <v/>
      </c>
      <c r="Z7" s="44" t="str" cm="1">
        <f t="array" aca="1" ref="Z7" ca="1">IF($S7&lt;&gt;"",INDIRECT(ADDRESS($Q7,10)),"")</f>
        <v/>
      </c>
      <c r="AA7" s="44" t="str" cm="1">
        <f t="array" aca="1" ref="AA7" ca="1">IF($S7&lt;&gt;"",INDIRECT(ADDRESS($Q7+1,10)),"")</f>
        <v/>
      </c>
      <c r="AB7" s="44" t="str" cm="1">
        <f t="array" aca="1" ref="AB7" ca="1">IF($S7&lt;&gt;"",INDIRECT(ADDRESS($Q7+2,10)),"")</f>
        <v/>
      </c>
    </row>
    <row r="8" spans="1:28" ht="15" customHeight="1" x14ac:dyDescent="0.4">
      <c r="A8" s="536">
        <v>2</v>
      </c>
      <c r="B8" s="539" t="str">
        <f ca="1">IF(OFFSET(馬匹登録!$AC$7,A8,0)&lt;&gt;"",OFFSET(馬匹登録!$AC$7,A8,0),"")</f>
        <v/>
      </c>
      <c r="C8" s="542"/>
      <c r="D8" s="545"/>
      <c r="E8" s="545"/>
      <c r="F8" s="546"/>
      <c r="G8" s="547"/>
      <c r="H8" s="552"/>
      <c r="I8" s="552"/>
      <c r="J8" s="555"/>
      <c r="K8" s="556"/>
      <c r="L8" s="556"/>
      <c r="M8" s="557"/>
      <c r="P8" s="44">
        <v>4</v>
      </c>
      <c r="Q8" s="44">
        <f t="shared" si="1"/>
        <v>13</v>
      </c>
      <c r="R8" s="44" cm="1">
        <f t="array" aca="1" ref="R8" ca="1">INDIRECT(ADDRESS($Q8,1))</f>
        <v>0</v>
      </c>
      <c r="S8" s="44" t="str" cm="1">
        <f t="array" aca="1" ref="S8" ca="1">IF(INDIRECT(ADDRESS($Q8,2))&lt;&gt;"",INDIRECT(ADDRESS($Q8,2)),"")</f>
        <v/>
      </c>
      <c r="T8" s="44" t="str" cm="1">
        <f t="array" aca="1" ref="T8" ca="1">IF($S8&lt;&gt;"",INDIRECT(ADDRESS($Q8,3)),"")</f>
        <v/>
      </c>
      <c r="U8" s="44" t="str" cm="1">
        <f t="array" aca="1" ref="U8" ca="1">IF($S8&lt;&gt;"",INDIRECT(ADDRESS($Q8,4)),"")</f>
        <v/>
      </c>
      <c r="V8" s="44" t="str" cm="1">
        <f t="array" aca="1" ref="V8" ca="1">IF($S8&lt;&gt;"",INDIRECT(ADDRESS($Q8,5)),"")</f>
        <v/>
      </c>
      <c r="W8" s="44" t="str" cm="1">
        <f t="array" aca="1" ref="W8" ca="1">IF($S8&lt;&gt;"",INDIRECT(ADDRESS($Q8,6)),"")</f>
        <v/>
      </c>
      <c r="X8" s="44" t="str" cm="1">
        <f t="array" aca="1" ref="X8" ca="1">IF($S8&lt;&gt;"",INDIRECT(ADDRESS($Q8,8)),"")</f>
        <v/>
      </c>
      <c r="Y8" s="44" t="str" cm="1">
        <f t="array" aca="1" ref="Y8" ca="1">IF($S8&lt;&gt;"",INDIRECT(ADDRESS($Q8,9)),"")</f>
        <v/>
      </c>
      <c r="Z8" s="44" t="str" cm="1">
        <f t="array" aca="1" ref="Z8" ca="1">IF($S8&lt;&gt;"",INDIRECT(ADDRESS($Q8,10)),"")</f>
        <v/>
      </c>
      <c r="AA8" s="44" t="str" cm="1">
        <f t="array" aca="1" ref="AA8" ca="1">IF($S8&lt;&gt;"",INDIRECT(ADDRESS($Q8+1,10)),"")</f>
        <v/>
      </c>
      <c r="AB8" s="44" t="str" cm="1">
        <f t="array" aca="1" ref="AB8" ca="1">IF($S8&lt;&gt;"",INDIRECT(ADDRESS($Q8+2,10)),"")</f>
        <v/>
      </c>
    </row>
    <row r="9" spans="1:28" ht="15" customHeight="1" x14ac:dyDescent="0.4">
      <c r="A9" s="537"/>
      <c r="B9" s="540"/>
      <c r="C9" s="543"/>
      <c r="D9" s="543"/>
      <c r="E9" s="543"/>
      <c r="F9" s="548"/>
      <c r="G9" s="549"/>
      <c r="H9" s="553"/>
      <c r="I9" s="553"/>
      <c r="J9" s="558"/>
      <c r="K9" s="559"/>
      <c r="L9" s="559"/>
      <c r="M9" s="560"/>
      <c r="P9" s="44">
        <v>5</v>
      </c>
      <c r="Q9" s="44">
        <f t="shared" si="1"/>
        <v>16</v>
      </c>
      <c r="R9" s="44" cm="1">
        <f t="array" aca="1" ref="R9" ca="1">INDIRECT(ADDRESS($Q9,1))</f>
        <v>0</v>
      </c>
      <c r="S9" s="44" t="str" cm="1">
        <f t="array" aca="1" ref="S9" ca="1">IF(INDIRECT(ADDRESS($Q9,2))&lt;&gt;"",INDIRECT(ADDRESS($Q9,2)),"")</f>
        <v/>
      </c>
      <c r="T9" s="44" t="str" cm="1">
        <f t="array" aca="1" ref="T9" ca="1">IF($S9&lt;&gt;"",INDIRECT(ADDRESS($Q9,3)),"")</f>
        <v/>
      </c>
      <c r="U9" s="44" t="str" cm="1">
        <f t="array" aca="1" ref="U9" ca="1">IF($S9&lt;&gt;"",INDIRECT(ADDRESS($Q9,4)),"")</f>
        <v/>
      </c>
      <c r="V9" s="44" t="str" cm="1">
        <f t="array" aca="1" ref="V9" ca="1">IF($S9&lt;&gt;"",INDIRECT(ADDRESS($Q9,5)),"")</f>
        <v/>
      </c>
      <c r="W9" s="44" t="str" cm="1">
        <f t="array" aca="1" ref="W9" ca="1">IF($S9&lt;&gt;"",INDIRECT(ADDRESS($Q9,6)),"")</f>
        <v/>
      </c>
      <c r="X9" s="44" t="str" cm="1">
        <f t="array" aca="1" ref="X9" ca="1">IF($S9&lt;&gt;"",INDIRECT(ADDRESS($Q9,8)),"")</f>
        <v/>
      </c>
      <c r="Y9" s="44" t="str" cm="1">
        <f t="array" aca="1" ref="Y9" ca="1">IF($S9&lt;&gt;"",INDIRECT(ADDRESS($Q9,9)),"")</f>
        <v/>
      </c>
      <c r="Z9" s="44" t="str" cm="1">
        <f t="array" aca="1" ref="Z9" ca="1">IF($S9&lt;&gt;"",INDIRECT(ADDRESS($Q9,10)),"")</f>
        <v/>
      </c>
      <c r="AA9" s="44" t="str" cm="1">
        <f t="array" aca="1" ref="AA9" ca="1">IF($S9&lt;&gt;"",INDIRECT(ADDRESS($Q9+1,10)),"")</f>
        <v/>
      </c>
      <c r="AB9" s="44" t="str" cm="1">
        <f t="array" aca="1" ref="AB9" ca="1">IF($S9&lt;&gt;"",INDIRECT(ADDRESS($Q9+2,10)),"")</f>
        <v/>
      </c>
    </row>
    <row r="10" spans="1:28" ht="15" customHeight="1" x14ac:dyDescent="0.4">
      <c r="A10" s="538"/>
      <c r="B10" s="541"/>
      <c r="C10" s="544"/>
      <c r="D10" s="544"/>
      <c r="E10" s="544"/>
      <c r="F10" s="550"/>
      <c r="G10" s="551"/>
      <c r="H10" s="554"/>
      <c r="I10" s="554"/>
      <c r="J10" s="561"/>
      <c r="K10" s="562"/>
      <c r="L10" s="562"/>
      <c r="M10" s="563"/>
      <c r="P10" s="44">
        <v>6</v>
      </c>
      <c r="Q10" s="44">
        <f t="shared" si="1"/>
        <v>19</v>
      </c>
      <c r="R10" s="44" cm="1">
        <f t="array" aca="1" ref="R10" ca="1">INDIRECT(ADDRESS($Q10,1))</f>
        <v>0</v>
      </c>
      <c r="S10" s="44" t="str" cm="1">
        <f t="array" aca="1" ref="S10" ca="1">IF(INDIRECT(ADDRESS($Q10,2))&lt;&gt;"",INDIRECT(ADDRESS($Q10,2)),"")</f>
        <v/>
      </c>
      <c r="T10" s="44" t="str" cm="1">
        <f t="array" aca="1" ref="T10" ca="1">IF($S10&lt;&gt;"",INDIRECT(ADDRESS($Q10,3)),"")</f>
        <v/>
      </c>
      <c r="U10" s="44" t="str" cm="1">
        <f t="array" aca="1" ref="U10" ca="1">IF($S10&lt;&gt;"",INDIRECT(ADDRESS($Q10,4)),"")</f>
        <v/>
      </c>
      <c r="V10" s="44" t="str" cm="1">
        <f t="array" aca="1" ref="V10" ca="1">IF($S10&lt;&gt;"",INDIRECT(ADDRESS($Q10,5)),"")</f>
        <v/>
      </c>
      <c r="W10" s="44" t="str" cm="1">
        <f t="array" aca="1" ref="W10" ca="1">IF($S10&lt;&gt;"",INDIRECT(ADDRESS($Q10,6)),"")</f>
        <v/>
      </c>
      <c r="X10" s="44" t="str" cm="1">
        <f t="array" aca="1" ref="X10" ca="1">IF($S10&lt;&gt;"",INDIRECT(ADDRESS($Q10,8)),"")</f>
        <v/>
      </c>
      <c r="Y10" s="44" t="str" cm="1">
        <f t="array" aca="1" ref="Y10" ca="1">IF($S10&lt;&gt;"",INDIRECT(ADDRESS($Q10,9)),"")</f>
        <v/>
      </c>
      <c r="Z10" s="44" t="str" cm="1">
        <f t="array" aca="1" ref="Z10" ca="1">IF($S10&lt;&gt;"",INDIRECT(ADDRESS($Q10,10)),"")</f>
        <v/>
      </c>
      <c r="AA10" s="44" t="str" cm="1">
        <f t="array" aca="1" ref="AA10" ca="1">IF($S10&lt;&gt;"",INDIRECT(ADDRESS($Q10+1,10)),"")</f>
        <v/>
      </c>
      <c r="AB10" s="44" t="str" cm="1">
        <f t="array" aca="1" ref="AB10" ca="1">IF($S10&lt;&gt;"",INDIRECT(ADDRESS($Q10+2,10)),"")</f>
        <v/>
      </c>
    </row>
    <row r="11" spans="1:28" ht="15" customHeight="1" x14ac:dyDescent="0.4">
      <c r="A11" s="536">
        <v>3</v>
      </c>
      <c r="B11" s="539" t="str">
        <f ca="1">IF(OFFSET(馬匹登録!$AC$7,A11,0)&lt;&gt;"",OFFSET(馬匹登録!$AC$7,A11,0),"")</f>
        <v/>
      </c>
      <c r="C11" s="542"/>
      <c r="D11" s="545"/>
      <c r="E11" s="545"/>
      <c r="F11" s="546"/>
      <c r="G11" s="547"/>
      <c r="H11" s="552"/>
      <c r="I11" s="552"/>
      <c r="J11" s="555"/>
      <c r="K11" s="556"/>
      <c r="L11" s="556"/>
      <c r="M11" s="557"/>
      <c r="P11" s="44">
        <v>7</v>
      </c>
      <c r="Q11" s="44">
        <f t="shared" si="1"/>
        <v>22</v>
      </c>
      <c r="R11" s="44" cm="1">
        <f t="array" aca="1" ref="R11" ca="1">INDIRECT(ADDRESS($Q11,1))</f>
        <v>0</v>
      </c>
      <c r="S11" s="44" t="str" cm="1">
        <f t="array" aca="1" ref="S11" ca="1">IF(INDIRECT(ADDRESS($Q11,2))&lt;&gt;"",INDIRECT(ADDRESS($Q11,2)),"")</f>
        <v/>
      </c>
      <c r="T11" s="44" t="str" cm="1">
        <f t="array" aca="1" ref="T11" ca="1">IF($S11&lt;&gt;"",INDIRECT(ADDRESS($Q11,3)),"")</f>
        <v/>
      </c>
      <c r="U11" s="44" t="str" cm="1">
        <f t="array" aca="1" ref="U11" ca="1">IF($S11&lt;&gt;"",INDIRECT(ADDRESS($Q11,4)),"")</f>
        <v/>
      </c>
      <c r="V11" s="44" t="str" cm="1">
        <f t="array" aca="1" ref="V11" ca="1">IF($S11&lt;&gt;"",INDIRECT(ADDRESS($Q11,5)),"")</f>
        <v/>
      </c>
      <c r="W11" s="44" t="str" cm="1">
        <f t="array" aca="1" ref="W11" ca="1">IF($S11&lt;&gt;"",INDIRECT(ADDRESS($Q11,6)),"")</f>
        <v/>
      </c>
      <c r="X11" s="44" t="str" cm="1">
        <f t="array" aca="1" ref="X11" ca="1">IF($S11&lt;&gt;"",INDIRECT(ADDRESS($Q11,8)),"")</f>
        <v/>
      </c>
      <c r="Y11" s="44" t="str" cm="1">
        <f t="array" aca="1" ref="Y11" ca="1">IF($S11&lt;&gt;"",INDIRECT(ADDRESS($Q11,9)),"")</f>
        <v/>
      </c>
      <c r="Z11" s="44" t="str" cm="1">
        <f t="array" aca="1" ref="Z11" ca="1">IF($S11&lt;&gt;"",INDIRECT(ADDRESS($Q11,10)),"")</f>
        <v/>
      </c>
      <c r="AA11" s="44" t="str" cm="1">
        <f t="array" aca="1" ref="AA11" ca="1">IF($S11&lt;&gt;"",INDIRECT(ADDRESS($Q11+1,10)),"")</f>
        <v/>
      </c>
      <c r="AB11" s="44" t="str" cm="1">
        <f t="array" aca="1" ref="AB11" ca="1">IF($S11&lt;&gt;"",INDIRECT(ADDRESS($Q11+2,10)),"")</f>
        <v/>
      </c>
    </row>
    <row r="12" spans="1:28" ht="15" customHeight="1" x14ac:dyDescent="0.4">
      <c r="A12" s="537"/>
      <c r="B12" s="540"/>
      <c r="C12" s="543"/>
      <c r="D12" s="543"/>
      <c r="E12" s="543"/>
      <c r="F12" s="548"/>
      <c r="G12" s="549"/>
      <c r="H12" s="553"/>
      <c r="I12" s="553"/>
      <c r="J12" s="558"/>
      <c r="K12" s="559"/>
      <c r="L12" s="559"/>
      <c r="M12" s="560"/>
      <c r="P12" s="44">
        <v>8</v>
      </c>
      <c r="Q12" s="44">
        <f t="shared" si="1"/>
        <v>25</v>
      </c>
      <c r="R12" s="44" cm="1">
        <f t="array" aca="1" ref="R12" ca="1">INDIRECT(ADDRESS($Q12,1))</f>
        <v>0</v>
      </c>
      <c r="S12" s="44" t="str" cm="1">
        <f t="array" aca="1" ref="S12" ca="1">IF(INDIRECT(ADDRESS($Q12,2))&lt;&gt;"",INDIRECT(ADDRESS($Q12,2)),"")</f>
        <v/>
      </c>
      <c r="T12" s="44" t="str" cm="1">
        <f t="array" aca="1" ref="T12" ca="1">IF($S12&lt;&gt;"",INDIRECT(ADDRESS($Q12,3)),"")</f>
        <v/>
      </c>
      <c r="U12" s="44" t="str" cm="1">
        <f t="array" aca="1" ref="U12" ca="1">IF($S12&lt;&gt;"",INDIRECT(ADDRESS($Q12,4)),"")</f>
        <v/>
      </c>
      <c r="V12" s="44" t="str" cm="1">
        <f t="array" aca="1" ref="V12" ca="1">IF($S12&lt;&gt;"",INDIRECT(ADDRESS($Q12,5)),"")</f>
        <v/>
      </c>
      <c r="W12" s="44" t="str" cm="1">
        <f t="array" aca="1" ref="W12" ca="1">IF($S12&lt;&gt;"",INDIRECT(ADDRESS($Q12,6)),"")</f>
        <v/>
      </c>
      <c r="X12" s="44" t="str" cm="1">
        <f t="array" aca="1" ref="X12" ca="1">IF($S12&lt;&gt;"",INDIRECT(ADDRESS($Q12,8)),"")</f>
        <v/>
      </c>
      <c r="Y12" s="44" t="str" cm="1">
        <f t="array" aca="1" ref="Y12" ca="1">IF($S12&lt;&gt;"",INDIRECT(ADDRESS($Q12,9)),"")</f>
        <v/>
      </c>
      <c r="Z12" s="44" t="str" cm="1">
        <f t="array" aca="1" ref="Z12" ca="1">IF($S12&lt;&gt;"",INDIRECT(ADDRESS($Q12,10)),"")</f>
        <v/>
      </c>
      <c r="AA12" s="44" t="str" cm="1">
        <f t="array" aca="1" ref="AA12" ca="1">IF($S12&lt;&gt;"",INDIRECT(ADDRESS($Q12+1,10)),"")</f>
        <v/>
      </c>
      <c r="AB12" s="44" t="str" cm="1">
        <f t="array" aca="1" ref="AB12" ca="1">IF($S12&lt;&gt;"",INDIRECT(ADDRESS($Q12+2,10)),"")</f>
        <v/>
      </c>
    </row>
    <row r="13" spans="1:28" ht="15" customHeight="1" x14ac:dyDescent="0.4">
      <c r="A13" s="538"/>
      <c r="B13" s="541"/>
      <c r="C13" s="544"/>
      <c r="D13" s="544"/>
      <c r="E13" s="544"/>
      <c r="F13" s="550"/>
      <c r="G13" s="551"/>
      <c r="H13" s="554"/>
      <c r="I13" s="554"/>
      <c r="J13" s="561"/>
      <c r="K13" s="562"/>
      <c r="L13" s="562"/>
      <c r="M13" s="563"/>
      <c r="P13" s="44">
        <v>9</v>
      </c>
      <c r="Q13" s="44">
        <f t="shared" si="1"/>
        <v>28</v>
      </c>
      <c r="R13" s="44" cm="1">
        <f t="array" aca="1" ref="R13" ca="1">INDIRECT(ADDRESS($Q13,1))</f>
        <v>0</v>
      </c>
      <c r="S13" s="44" t="str" cm="1">
        <f t="array" aca="1" ref="S13" ca="1">IF(INDIRECT(ADDRESS($Q13,2))&lt;&gt;"",INDIRECT(ADDRESS($Q13,2)),"")</f>
        <v/>
      </c>
      <c r="T13" s="44" t="str" cm="1">
        <f t="array" aca="1" ref="T13" ca="1">IF($S13&lt;&gt;"",INDIRECT(ADDRESS($Q13,3)),"")</f>
        <v/>
      </c>
      <c r="U13" s="44" t="str" cm="1">
        <f t="array" aca="1" ref="U13" ca="1">IF($S13&lt;&gt;"",INDIRECT(ADDRESS($Q13,4)),"")</f>
        <v/>
      </c>
      <c r="V13" s="44" t="str" cm="1">
        <f t="array" aca="1" ref="V13" ca="1">IF($S13&lt;&gt;"",INDIRECT(ADDRESS($Q13,5)),"")</f>
        <v/>
      </c>
      <c r="W13" s="44" t="str" cm="1">
        <f t="array" aca="1" ref="W13" ca="1">IF($S13&lt;&gt;"",INDIRECT(ADDRESS($Q13,6)),"")</f>
        <v/>
      </c>
      <c r="X13" s="44" t="str" cm="1">
        <f t="array" aca="1" ref="X13" ca="1">IF($S13&lt;&gt;"",INDIRECT(ADDRESS($Q13,8)),"")</f>
        <v/>
      </c>
      <c r="Y13" s="44" t="str" cm="1">
        <f t="array" aca="1" ref="Y13" ca="1">IF($S13&lt;&gt;"",INDIRECT(ADDRESS($Q13,9)),"")</f>
        <v/>
      </c>
      <c r="Z13" s="44" t="str" cm="1">
        <f t="array" aca="1" ref="Z13" ca="1">IF($S13&lt;&gt;"",INDIRECT(ADDRESS($Q13,10)),"")</f>
        <v/>
      </c>
      <c r="AA13" s="44" t="str" cm="1">
        <f t="array" aca="1" ref="AA13" ca="1">IF($S13&lt;&gt;"",INDIRECT(ADDRESS($Q13+1,10)),"")</f>
        <v/>
      </c>
      <c r="AB13" s="44" t="str" cm="1">
        <f t="array" aca="1" ref="AB13" ca="1">IF($S13&lt;&gt;"",INDIRECT(ADDRESS($Q13+2,10)),"")</f>
        <v/>
      </c>
    </row>
    <row r="14" spans="1:28" ht="15" customHeight="1" x14ac:dyDescent="0.4">
      <c r="A14" s="536">
        <v>4</v>
      </c>
      <c r="B14" s="539" t="str">
        <f ca="1">IF(OFFSET(馬匹登録!$AC$7,A14,0)&lt;&gt;"",OFFSET(馬匹登録!$AC$7,A14,0),"")</f>
        <v/>
      </c>
      <c r="C14" s="542"/>
      <c r="D14" s="545"/>
      <c r="E14" s="545"/>
      <c r="F14" s="546"/>
      <c r="G14" s="547"/>
      <c r="H14" s="552"/>
      <c r="I14" s="552"/>
      <c r="J14" s="555"/>
      <c r="K14" s="556"/>
      <c r="L14" s="556"/>
      <c r="M14" s="557"/>
      <c r="P14" s="44">
        <v>10</v>
      </c>
      <c r="Q14" s="44">
        <f t="shared" si="1"/>
        <v>31</v>
      </c>
      <c r="R14" s="44" cm="1">
        <f t="array" aca="1" ref="R14" ca="1">INDIRECT(ADDRESS($Q14,1))</f>
        <v>0</v>
      </c>
      <c r="S14" s="44" t="str" cm="1">
        <f t="array" aca="1" ref="S14" ca="1">IF(INDIRECT(ADDRESS($Q14,2))&lt;&gt;"",INDIRECT(ADDRESS($Q14,2)),"")</f>
        <v/>
      </c>
      <c r="T14" s="44" t="str" cm="1">
        <f t="array" aca="1" ref="T14" ca="1">IF($S14&lt;&gt;"",INDIRECT(ADDRESS($Q14,3)),"")</f>
        <v/>
      </c>
      <c r="U14" s="44" t="str" cm="1">
        <f t="array" aca="1" ref="U14" ca="1">IF($S14&lt;&gt;"",INDIRECT(ADDRESS($Q14,4)),"")</f>
        <v/>
      </c>
      <c r="V14" s="44" t="str" cm="1">
        <f t="array" aca="1" ref="V14" ca="1">IF($S14&lt;&gt;"",INDIRECT(ADDRESS($Q14,5)),"")</f>
        <v/>
      </c>
      <c r="W14" s="44" t="str" cm="1">
        <f t="array" aca="1" ref="W14" ca="1">IF($S14&lt;&gt;"",INDIRECT(ADDRESS($Q14,6)),"")</f>
        <v/>
      </c>
      <c r="X14" s="44" t="str" cm="1">
        <f t="array" aca="1" ref="X14" ca="1">IF($S14&lt;&gt;"",INDIRECT(ADDRESS($Q14,8)),"")</f>
        <v/>
      </c>
      <c r="Y14" s="44" t="str" cm="1">
        <f t="array" aca="1" ref="Y14" ca="1">IF($S14&lt;&gt;"",INDIRECT(ADDRESS($Q14,9)),"")</f>
        <v/>
      </c>
      <c r="Z14" s="44" t="str" cm="1">
        <f t="array" aca="1" ref="Z14" ca="1">IF($S14&lt;&gt;"",INDIRECT(ADDRESS($Q14,10)),"")</f>
        <v/>
      </c>
      <c r="AA14" s="44" t="str" cm="1">
        <f t="array" aca="1" ref="AA14" ca="1">IF($S14&lt;&gt;"",INDIRECT(ADDRESS($Q14+1,10)),"")</f>
        <v/>
      </c>
      <c r="AB14" s="44" t="str" cm="1">
        <f t="array" aca="1" ref="AB14" ca="1">IF($S14&lt;&gt;"",INDIRECT(ADDRESS($Q14+2,10)),"")</f>
        <v/>
      </c>
    </row>
    <row r="15" spans="1:28" ht="15" customHeight="1" x14ac:dyDescent="0.4">
      <c r="A15" s="537"/>
      <c r="B15" s="540"/>
      <c r="C15" s="543"/>
      <c r="D15" s="543"/>
      <c r="E15" s="543"/>
      <c r="F15" s="548"/>
      <c r="G15" s="549"/>
      <c r="H15" s="553"/>
      <c r="I15" s="553"/>
      <c r="J15" s="558"/>
      <c r="K15" s="559"/>
      <c r="L15" s="559"/>
      <c r="M15" s="560"/>
      <c r="P15" s="44">
        <v>11</v>
      </c>
      <c r="Q15" s="44">
        <f t="shared" si="1"/>
        <v>44</v>
      </c>
      <c r="R15" s="44" cm="1">
        <f t="array" aca="1" ref="R15" ca="1">INDIRECT(ADDRESS($Q15,1))</f>
        <v>0</v>
      </c>
      <c r="S15" s="44" t="str" cm="1">
        <f t="array" aca="1" ref="S15" ca="1">IF(INDIRECT(ADDRESS($Q15,2))&lt;&gt;"",INDIRECT(ADDRESS($Q15,2)),"")</f>
        <v>馬名</v>
      </c>
      <c r="T15" s="44" t="str" cm="1">
        <f t="array" aca="1" ref="T15" ca="1">IF($S15&lt;&gt;"",INDIRECT(ADDRESS($Q15,3)),"")</f>
        <v>性別</v>
      </c>
      <c r="U15" s="44" t="str" cm="1">
        <f t="array" aca="1" ref="U15" ca="1">IF($S15&lt;&gt;"",INDIRECT(ADDRESS($Q15,4)),"")</f>
        <v>毛色</v>
      </c>
      <c r="V15" s="44" t="str" cm="1">
        <f t="array" aca="1" ref="V15" ca="1">IF($S15&lt;&gt;"",INDIRECT(ADDRESS($Q15,5)),"")</f>
        <v>種類</v>
      </c>
      <c r="W15" s="44" t="str" cm="1">
        <f t="array" aca="1" ref="W15" ca="1">IF($S15&lt;&gt;"",INDIRECT(ADDRESS($Q15,6)),"")</f>
        <v>産地</v>
      </c>
      <c r="X15" s="44" t="str" cm="1">
        <f t="array" aca="1" ref="X15" ca="1">IF($S15&lt;&gt;"",INDIRECT(ADDRESS($Q15,8)),"")</f>
        <v>最終伝貧
検査日</v>
      </c>
      <c r="Y15" s="44" t="str" cm="1">
        <f t="array" aca="1" ref="Y15" ca="1">IF($S15&lt;&gt;"",INDIRECT(ADDRESS($Q15,9)),"")</f>
        <v>日本脳炎予防
ワクチン接種日</v>
      </c>
      <c r="Z15" s="44" t="str" cm="1">
        <f t="array" aca="1" ref="Z15" ca="1">IF($S15&lt;&gt;"",INDIRECT(ADDRESS($Q15,10)),"")</f>
        <v>基礎・補強終了後のすべてのインフルエンザ予防接種暦</v>
      </c>
      <c r="AA15" s="44" cm="1">
        <f t="array" aca="1" ref="AA15" ca="1">IF($S15&lt;&gt;"",INDIRECT(ADDRESS($Q15+1,10)),"")</f>
        <v>0</v>
      </c>
      <c r="AB15" s="44" cm="1">
        <f t="array" aca="1" ref="AB15" ca="1">IF($S15&lt;&gt;"",INDIRECT(ADDRESS($Q15+2,10)),"")</f>
        <v>0</v>
      </c>
    </row>
    <row r="16" spans="1:28" ht="15" customHeight="1" x14ac:dyDescent="0.4">
      <c r="A16" s="538"/>
      <c r="B16" s="541"/>
      <c r="C16" s="544"/>
      <c r="D16" s="544"/>
      <c r="E16" s="544"/>
      <c r="F16" s="550"/>
      <c r="G16" s="551"/>
      <c r="H16" s="554"/>
      <c r="I16" s="554"/>
      <c r="J16" s="561"/>
      <c r="K16" s="562"/>
      <c r="L16" s="562"/>
      <c r="M16" s="563"/>
      <c r="P16" s="44">
        <v>12</v>
      </c>
      <c r="Q16" s="44">
        <f t="shared" si="1"/>
        <v>47</v>
      </c>
      <c r="R16" s="44" cm="1">
        <f t="array" aca="1" ref="R16" ca="1">INDIRECT(ADDRESS($Q16,1))</f>
        <v>0</v>
      </c>
      <c r="S16" s="44" t="str" cm="1">
        <f t="array" aca="1" ref="S16" ca="1">IF(INDIRECT(ADDRESS($Q16,2))&lt;&gt;"",INDIRECT(ADDRESS($Q16,2)),"")</f>
        <v/>
      </c>
      <c r="T16" s="44" t="str" cm="1">
        <f t="array" aca="1" ref="T16" ca="1">IF($S16&lt;&gt;"",INDIRECT(ADDRESS($Q16,3)),"")</f>
        <v/>
      </c>
      <c r="U16" s="44" t="str" cm="1">
        <f t="array" aca="1" ref="U16" ca="1">IF($S16&lt;&gt;"",INDIRECT(ADDRESS($Q16,4)),"")</f>
        <v/>
      </c>
      <c r="V16" s="44" t="str" cm="1">
        <f t="array" aca="1" ref="V16" ca="1">IF($S16&lt;&gt;"",INDIRECT(ADDRESS($Q16,5)),"")</f>
        <v/>
      </c>
      <c r="W16" s="44" t="str" cm="1">
        <f t="array" aca="1" ref="W16" ca="1">IF($S16&lt;&gt;"",INDIRECT(ADDRESS($Q16,6)),"")</f>
        <v/>
      </c>
      <c r="X16" s="44" t="str" cm="1">
        <f t="array" aca="1" ref="X16" ca="1">IF($S16&lt;&gt;"",INDIRECT(ADDRESS($Q16,8)),"")</f>
        <v/>
      </c>
      <c r="Y16" s="44" t="str" cm="1">
        <f t="array" aca="1" ref="Y16" ca="1">IF($S16&lt;&gt;"",INDIRECT(ADDRESS($Q16,9)),"")</f>
        <v/>
      </c>
      <c r="Z16" s="44" t="str" cm="1">
        <f t="array" aca="1" ref="Z16" ca="1">IF($S16&lt;&gt;"",INDIRECT(ADDRESS($Q16,10)),"")</f>
        <v/>
      </c>
      <c r="AA16" s="44" t="str" cm="1">
        <f t="array" aca="1" ref="AA16" ca="1">IF($S16&lt;&gt;"",INDIRECT(ADDRESS($Q16+1,10)),"")</f>
        <v/>
      </c>
      <c r="AB16" s="44" t="str" cm="1">
        <f t="array" aca="1" ref="AB16" ca="1">IF($S16&lt;&gt;"",INDIRECT(ADDRESS($Q16+2,10)),"")</f>
        <v/>
      </c>
    </row>
    <row r="17" spans="1:28" ht="15" customHeight="1" x14ac:dyDescent="0.4">
      <c r="A17" s="536">
        <v>5</v>
      </c>
      <c r="B17" s="539" t="str">
        <f ca="1">IF(OFFSET(馬匹登録!$AC$7,A17,0)&lt;&gt;"",OFFSET(馬匹登録!$AC$7,A17,0),"")</f>
        <v/>
      </c>
      <c r="C17" s="542"/>
      <c r="D17" s="545"/>
      <c r="E17" s="545"/>
      <c r="F17" s="546"/>
      <c r="G17" s="547"/>
      <c r="H17" s="552"/>
      <c r="I17" s="552"/>
      <c r="J17" s="555"/>
      <c r="K17" s="556"/>
      <c r="L17" s="556"/>
      <c r="M17" s="557"/>
      <c r="P17" s="44">
        <v>13</v>
      </c>
      <c r="Q17" s="44">
        <f t="shared" si="1"/>
        <v>50</v>
      </c>
      <c r="R17" s="44" cm="1">
        <f t="array" aca="1" ref="R17" ca="1">INDIRECT(ADDRESS($Q17,1))</f>
        <v>0</v>
      </c>
      <c r="S17" s="44" t="str" cm="1">
        <f t="array" aca="1" ref="S17" ca="1">IF(INDIRECT(ADDRESS($Q17,2))&lt;&gt;"",INDIRECT(ADDRESS($Q17,2)),"")</f>
        <v/>
      </c>
      <c r="T17" s="44" t="str" cm="1">
        <f t="array" aca="1" ref="T17" ca="1">IF($S17&lt;&gt;"",INDIRECT(ADDRESS($Q17,3)),"")</f>
        <v/>
      </c>
      <c r="U17" s="44" t="str" cm="1">
        <f t="array" aca="1" ref="U17" ca="1">IF($S17&lt;&gt;"",INDIRECT(ADDRESS($Q17,4)),"")</f>
        <v/>
      </c>
      <c r="V17" s="44" t="str" cm="1">
        <f t="array" aca="1" ref="V17" ca="1">IF($S17&lt;&gt;"",INDIRECT(ADDRESS($Q17,5)),"")</f>
        <v/>
      </c>
      <c r="W17" s="44" t="str" cm="1">
        <f t="array" aca="1" ref="W17" ca="1">IF($S17&lt;&gt;"",INDIRECT(ADDRESS($Q17,6)),"")</f>
        <v/>
      </c>
      <c r="X17" s="44" t="str" cm="1">
        <f t="array" aca="1" ref="X17" ca="1">IF($S17&lt;&gt;"",INDIRECT(ADDRESS($Q17,8)),"")</f>
        <v/>
      </c>
      <c r="Y17" s="44" t="str" cm="1">
        <f t="array" aca="1" ref="Y17" ca="1">IF($S17&lt;&gt;"",INDIRECT(ADDRESS($Q17,9)),"")</f>
        <v/>
      </c>
      <c r="Z17" s="44" t="str" cm="1">
        <f t="array" aca="1" ref="Z17" ca="1">IF($S17&lt;&gt;"",INDIRECT(ADDRESS($Q17,10)),"")</f>
        <v/>
      </c>
      <c r="AA17" s="44" t="str" cm="1">
        <f t="array" aca="1" ref="AA17" ca="1">IF($S17&lt;&gt;"",INDIRECT(ADDRESS($Q17+1,10)),"")</f>
        <v/>
      </c>
      <c r="AB17" s="44" t="str" cm="1">
        <f t="array" aca="1" ref="AB17" ca="1">IF($S17&lt;&gt;"",INDIRECT(ADDRESS($Q17+2,10)),"")</f>
        <v/>
      </c>
    </row>
    <row r="18" spans="1:28" ht="15" customHeight="1" x14ac:dyDescent="0.4">
      <c r="A18" s="537"/>
      <c r="B18" s="540"/>
      <c r="C18" s="543"/>
      <c r="D18" s="543"/>
      <c r="E18" s="543"/>
      <c r="F18" s="548"/>
      <c r="G18" s="549"/>
      <c r="H18" s="553"/>
      <c r="I18" s="553"/>
      <c r="J18" s="558"/>
      <c r="K18" s="559"/>
      <c r="L18" s="559"/>
      <c r="M18" s="560"/>
      <c r="P18" s="44">
        <v>14</v>
      </c>
      <c r="Q18" s="44">
        <f t="shared" si="1"/>
        <v>53</v>
      </c>
      <c r="R18" s="44" cm="1">
        <f t="array" aca="1" ref="R18" ca="1">INDIRECT(ADDRESS($Q18,1))</f>
        <v>0</v>
      </c>
      <c r="S18" s="44" t="str" cm="1">
        <f t="array" aca="1" ref="S18" ca="1">IF(INDIRECT(ADDRESS($Q18,2))&lt;&gt;"",INDIRECT(ADDRESS($Q18,2)),"")</f>
        <v/>
      </c>
      <c r="T18" s="44" t="str" cm="1">
        <f t="array" aca="1" ref="T18" ca="1">IF($S18&lt;&gt;"",INDIRECT(ADDRESS($Q18,3)),"")</f>
        <v/>
      </c>
      <c r="U18" s="44" t="str" cm="1">
        <f t="array" aca="1" ref="U18" ca="1">IF($S18&lt;&gt;"",INDIRECT(ADDRESS($Q18,4)),"")</f>
        <v/>
      </c>
      <c r="V18" s="44" t="str" cm="1">
        <f t="array" aca="1" ref="V18" ca="1">IF($S18&lt;&gt;"",INDIRECT(ADDRESS($Q18,5)),"")</f>
        <v/>
      </c>
      <c r="W18" s="44" t="str" cm="1">
        <f t="array" aca="1" ref="W18" ca="1">IF($S18&lt;&gt;"",INDIRECT(ADDRESS($Q18,6)),"")</f>
        <v/>
      </c>
      <c r="X18" s="44" t="str" cm="1">
        <f t="array" aca="1" ref="X18" ca="1">IF($S18&lt;&gt;"",INDIRECT(ADDRESS($Q18,8)),"")</f>
        <v/>
      </c>
      <c r="Y18" s="44" t="str" cm="1">
        <f t="array" aca="1" ref="Y18" ca="1">IF($S18&lt;&gt;"",INDIRECT(ADDRESS($Q18,9)),"")</f>
        <v/>
      </c>
      <c r="Z18" s="44" t="str" cm="1">
        <f t="array" aca="1" ref="Z18" ca="1">IF($S18&lt;&gt;"",INDIRECT(ADDRESS($Q18,10)),"")</f>
        <v/>
      </c>
      <c r="AA18" s="44" t="str" cm="1">
        <f t="array" aca="1" ref="AA18" ca="1">IF($S18&lt;&gt;"",INDIRECT(ADDRESS($Q18+1,10)),"")</f>
        <v/>
      </c>
      <c r="AB18" s="44" t="str" cm="1">
        <f t="array" aca="1" ref="AB18" ca="1">IF($S18&lt;&gt;"",INDIRECT(ADDRESS($Q18+2,10)),"")</f>
        <v/>
      </c>
    </row>
    <row r="19" spans="1:28" ht="15" customHeight="1" x14ac:dyDescent="0.4">
      <c r="A19" s="538"/>
      <c r="B19" s="541"/>
      <c r="C19" s="544"/>
      <c r="D19" s="544"/>
      <c r="E19" s="544"/>
      <c r="F19" s="550"/>
      <c r="G19" s="551"/>
      <c r="H19" s="554"/>
      <c r="I19" s="554"/>
      <c r="J19" s="561"/>
      <c r="K19" s="562"/>
      <c r="L19" s="562"/>
      <c r="M19" s="563"/>
      <c r="P19" s="44">
        <v>15</v>
      </c>
      <c r="Q19" s="44">
        <f t="shared" si="1"/>
        <v>56</v>
      </c>
      <c r="R19" s="44" cm="1">
        <f t="array" aca="1" ref="R19" ca="1">INDIRECT(ADDRESS($Q19,1))</f>
        <v>0</v>
      </c>
      <c r="S19" s="44" t="str" cm="1">
        <f t="array" aca="1" ref="S19" ca="1">IF(INDIRECT(ADDRESS($Q19,2))&lt;&gt;"",INDIRECT(ADDRESS($Q19,2)),"")</f>
        <v/>
      </c>
      <c r="T19" s="44" t="str" cm="1">
        <f t="array" aca="1" ref="T19" ca="1">IF($S19&lt;&gt;"",INDIRECT(ADDRESS($Q19,3)),"")</f>
        <v/>
      </c>
      <c r="U19" s="44" t="str" cm="1">
        <f t="array" aca="1" ref="U19" ca="1">IF($S19&lt;&gt;"",INDIRECT(ADDRESS($Q19,4)),"")</f>
        <v/>
      </c>
      <c r="V19" s="44" t="str" cm="1">
        <f t="array" aca="1" ref="V19" ca="1">IF($S19&lt;&gt;"",INDIRECT(ADDRESS($Q19,5)),"")</f>
        <v/>
      </c>
      <c r="W19" s="44" t="str" cm="1">
        <f t="array" aca="1" ref="W19" ca="1">IF($S19&lt;&gt;"",INDIRECT(ADDRESS($Q19,6)),"")</f>
        <v/>
      </c>
      <c r="X19" s="44" t="str" cm="1">
        <f t="array" aca="1" ref="X19" ca="1">IF($S19&lt;&gt;"",INDIRECT(ADDRESS($Q19,8)),"")</f>
        <v/>
      </c>
      <c r="Y19" s="44" t="str" cm="1">
        <f t="array" aca="1" ref="Y19" ca="1">IF($S19&lt;&gt;"",INDIRECT(ADDRESS($Q19,9)),"")</f>
        <v/>
      </c>
      <c r="Z19" s="44" t="str" cm="1">
        <f t="array" aca="1" ref="Z19" ca="1">IF($S19&lt;&gt;"",INDIRECT(ADDRESS($Q19,10)),"")</f>
        <v/>
      </c>
      <c r="AA19" s="44" t="str" cm="1">
        <f t="array" aca="1" ref="AA19" ca="1">IF($S19&lt;&gt;"",INDIRECT(ADDRESS($Q19+1,10)),"")</f>
        <v/>
      </c>
      <c r="AB19" s="44" t="str" cm="1">
        <f t="array" aca="1" ref="AB19" ca="1">IF($S19&lt;&gt;"",INDIRECT(ADDRESS($Q19+2,10)),"")</f>
        <v/>
      </c>
    </row>
    <row r="20" spans="1:28" ht="15" customHeight="1" x14ac:dyDescent="0.4">
      <c r="A20" s="536">
        <v>6</v>
      </c>
      <c r="B20" s="539" t="str">
        <f ca="1">IF(OFFSET(馬匹登録!$AC$7,A20,0)&lt;&gt;"",OFFSET(馬匹登録!$AC$7,A20,0),"")</f>
        <v/>
      </c>
      <c r="C20" s="542"/>
      <c r="D20" s="545"/>
      <c r="E20" s="545"/>
      <c r="F20" s="546"/>
      <c r="G20" s="547"/>
      <c r="H20" s="552"/>
      <c r="I20" s="552"/>
      <c r="J20" s="555"/>
      <c r="K20" s="556"/>
      <c r="L20" s="556"/>
      <c r="M20" s="557"/>
      <c r="P20" s="44">
        <v>16</v>
      </c>
      <c r="Q20" s="44">
        <f t="shared" si="1"/>
        <v>59</v>
      </c>
      <c r="R20" s="44" cm="1">
        <f t="array" aca="1" ref="R20" ca="1">INDIRECT(ADDRESS($Q20,1))</f>
        <v>0</v>
      </c>
      <c r="S20" s="44" t="str" cm="1">
        <f t="array" aca="1" ref="S20" ca="1">IF(INDIRECT(ADDRESS($Q20,2))&lt;&gt;"",INDIRECT(ADDRESS($Q20,2)),"")</f>
        <v/>
      </c>
      <c r="T20" s="44" t="str" cm="1">
        <f t="array" aca="1" ref="T20" ca="1">IF($S20&lt;&gt;"",INDIRECT(ADDRESS($Q20,3)),"")</f>
        <v/>
      </c>
      <c r="U20" s="44" t="str" cm="1">
        <f t="array" aca="1" ref="U20" ca="1">IF($S20&lt;&gt;"",INDIRECT(ADDRESS($Q20,4)),"")</f>
        <v/>
      </c>
      <c r="V20" s="44" t="str" cm="1">
        <f t="array" aca="1" ref="V20" ca="1">IF($S20&lt;&gt;"",INDIRECT(ADDRESS($Q20,5)),"")</f>
        <v/>
      </c>
      <c r="W20" s="44" t="str" cm="1">
        <f t="array" aca="1" ref="W20" ca="1">IF($S20&lt;&gt;"",INDIRECT(ADDRESS($Q20,6)),"")</f>
        <v/>
      </c>
      <c r="X20" s="44" t="str" cm="1">
        <f t="array" aca="1" ref="X20" ca="1">IF($S20&lt;&gt;"",INDIRECT(ADDRESS($Q20,8)),"")</f>
        <v/>
      </c>
      <c r="Y20" s="44" t="str" cm="1">
        <f t="array" aca="1" ref="Y20" ca="1">IF($S20&lt;&gt;"",INDIRECT(ADDRESS($Q20,9)),"")</f>
        <v/>
      </c>
      <c r="Z20" s="44" t="str" cm="1">
        <f t="array" aca="1" ref="Z20" ca="1">IF($S20&lt;&gt;"",INDIRECT(ADDRESS($Q20,10)),"")</f>
        <v/>
      </c>
      <c r="AA20" s="44" t="str" cm="1">
        <f t="array" aca="1" ref="AA20" ca="1">IF($S20&lt;&gt;"",INDIRECT(ADDRESS($Q20+1,10)),"")</f>
        <v/>
      </c>
      <c r="AB20" s="44" t="str" cm="1">
        <f t="array" aca="1" ref="AB20" ca="1">IF($S20&lt;&gt;"",INDIRECT(ADDRESS($Q20+2,10)),"")</f>
        <v/>
      </c>
    </row>
    <row r="21" spans="1:28" ht="15" customHeight="1" x14ac:dyDescent="0.4">
      <c r="A21" s="537"/>
      <c r="B21" s="540"/>
      <c r="C21" s="543"/>
      <c r="D21" s="543"/>
      <c r="E21" s="543"/>
      <c r="F21" s="548"/>
      <c r="G21" s="549"/>
      <c r="H21" s="553"/>
      <c r="I21" s="553"/>
      <c r="J21" s="558"/>
      <c r="K21" s="559"/>
      <c r="L21" s="559"/>
      <c r="M21" s="560"/>
      <c r="P21" s="44">
        <v>17</v>
      </c>
      <c r="Q21" s="44">
        <f t="shared" si="1"/>
        <v>62</v>
      </c>
      <c r="R21" s="44" cm="1">
        <f t="array" aca="1" ref="R21" ca="1">INDIRECT(ADDRESS($Q21,1))</f>
        <v>0</v>
      </c>
      <c r="S21" s="44" t="str" cm="1">
        <f t="array" aca="1" ref="S21" ca="1">IF(INDIRECT(ADDRESS($Q21,2))&lt;&gt;"",INDIRECT(ADDRESS($Q21,2)),"")</f>
        <v/>
      </c>
      <c r="T21" s="44" t="str" cm="1">
        <f t="array" aca="1" ref="T21" ca="1">IF($S21&lt;&gt;"",INDIRECT(ADDRESS($Q21,3)),"")</f>
        <v/>
      </c>
      <c r="U21" s="44" t="str" cm="1">
        <f t="array" aca="1" ref="U21" ca="1">IF($S21&lt;&gt;"",INDIRECT(ADDRESS($Q21,4)),"")</f>
        <v/>
      </c>
      <c r="V21" s="44" t="str" cm="1">
        <f t="array" aca="1" ref="V21" ca="1">IF($S21&lt;&gt;"",INDIRECT(ADDRESS($Q21,5)),"")</f>
        <v/>
      </c>
      <c r="W21" s="44" t="str" cm="1">
        <f t="array" aca="1" ref="W21" ca="1">IF($S21&lt;&gt;"",INDIRECT(ADDRESS($Q21,6)),"")</f>
        <v/>
      </c>
      <c r="X21" s="44" t="str" cm="1">
        <f t="array" aca="1" ref="X21" ca="1">IF($S21&lt;&gt;"",INDIRECT(ADDRESS($Q21,8)),"")</f>
        <v/>
      </c>
      <c r="Y21" s="44" t="str" cm="1">
        <f t="array" aca="1" ref="Y21" ca="1">IF($S21&lt;&gt;"",INDIRECT(ADDRESS($Q21,9)),"")</f>
        <v/>
      </c>
      <c r="Z21" s="44" t="str" cm="1">
        <f t="array" aca="1" ref="Z21" ca="1">IF($S21&lt;&gt;"",INDIRECT(ADDRESS($Q21,10)),"")</f>
        <v/>
      </c>
      <c r="AA21" s="44" t="str" cm="1">
        <f t="array" aca="1" ref="AA21" ca="1">IF($S21&lt;&gt;"",INDIRECT(ADDRESS($Q21+1,10)),"")</f>
        <v/>
      </c>
      <c r="AB21" s="44" t="str" cm="1">
        <f t="array" aca="1" ref="AB21" ca="1">IF($S21&lt;&gt;"",INDIRECT(ADDRESS($Q21+2,10)),"")</f>
        <v/>
      </c>
    </row>
    <row r="22" spans="1:28" ht="15" customHeight="1" x14ac:dyDescent="0.4">
      <c r="A22" s="538"/>
      <c r="B22" s="541"/>
      <c r="C22" s="544"/>
      <c r="D22" s="544"/>
      <c r="E22" s="544"/>
      <c r="F22" s="550"/>
      <c r="G22" s="551"/>
      <c r="H22" s="554"/>
      <c r="I22" s="554"/>
      <c r="J22" s="561"/>
      <c r="K22" s="562"/>
      <c r="L22" s="562"/>
      <c r="M22" s="563"/>
      <c r="P22" s="44">
        <v>18</v>
      </c>
      <c r="Q22" s="44">
        <f t="shared" si="1"/>
        <v>65</v>
      </c>
      <c r="R22" s="44" cm="1">
        <f t="array" aca="1" ref="R22" ca="1">INDIRECT(ADDRESS($Q22,1))</f>
        <v>0</v>
      </c>
      <c r="S22" s="44" t="str" cm="1">
        <f t="array" aca="1" ref="S22" ca="1">IF(INDIRECT(ADDRESS($Q22,2))&lt;&gt;"",INDIRECT(ADDRESS($Q22,2)),"")</f>
        <v/>
      </c>
      <c r="T22" s="44" t="str" cm="1">
        <f t="array" aca="1" ref="T22" ca="1">IF($S22&lt;&gt;"",INDIRECT(ADDRESS($Q22,3)),"")</f>
        <v/>
      </c>
      <c r="U22" s="44" t="str" cm="1">
        <f t="array" aca="1" ref="U22" ca="1">IF($S22&lt;&gt;"",INDIRECT(ADDRESS($Q22,4)),"")</f>
        <v/>
      </c>
      <c r="V22" s="44" t="str" cm="1">
        <f t="array" aca="1" ref="V22" ca="1">IF($S22&lt;&gt;"",INDIRECT(ADDRESS($Q22,5)),"")</f>
        <v/>
      </c>
      <c r="W22" s="44" t="str" cm="1">
        <f t="array" aca="1" ref="W22" ca="1">IF($S22&lt;&gt;"",INDIRECT(ADDRESS($Q22,6)),"")</f>
        <v/>
      </c>
      <c r="X22" s="44" t="str" cm="1">
        <f t="array" aca="1" ref="X22" ca="1">IF($S22&lt;&gt;"",INDIRECT(ADDRESS($Q22,8)),"")</f>
        <v/>
      </c>
      <c r="Y22" s="44" t="str" cm="1">
        <f t="array" aca="1" ref="Y22" ca="1">IF($S22&lt;&gt;"",INDIRECT(ADDRESS($Q22,9)),"")</f>
        <v/>
      </c>
      <c r="Z22" s="44" t="str" cm="1">
        <f t="array" aca="1" ref="Z22" ca="1">IF($S22&lt;&gt;"",INDIRECT(ADDRESS($Q22,10)),"")</f>
        <v/>
      </c>
      <c r="AA22" s="44" t="str" cm="1">
        <f t="array" aca="1" ref="AA22" ca="1">IF($S22&lt;&gt;"",INDIRECT(ADDRESS($Q22+1,10)),"")</f>
        <v/>
      </c>
      <c r="AB22" s="44" t="str" cm="1">
        <f t="array" aca="1" ref="AB22" ca="1">IF($S22&lt;&gt;"",INDIRECT(ADDRESS($Q22+2,10)),"")</f>
        <v/>
      </c>
    </row>
    <row r="23" spans="1:28" ht="15" customHeight="1" x14ac:dyDescent="0.4">
      <c r="A23" s="536">
        <v>7</v>
      </c>
      <c r="B23" s="539" t="str">
        <f ca="1">IF(OFFSET(馬匹登録!$AC$7,A23,0)&lt;&gt;"",OFFSET(馬匹登録!$AC$7,A23,0),"")</f>
        <v/>
      </c>
      <c r="C23" s="542"/>
      <c r="D23" s="545"/>
      <c r="E23" s="545"/>
      <c r="F23" s="546"/>
      <c r="G23" s="547"/>
      <c r="H23" s="552"/>
      <c r="I23" s="552"/>
      <c r="J23" s="555"/>
      <c r="K23" s="556"/>
      <c r="L23" s="556"/>
      <c r="M23" s="557"/>
      <c r="P23" s="44">
        <v>19</v>
      </c>
      <c r="Q23" s="44">
        <f t="shared" si="1"/>
        <v>68</v>
      </c>
      <c r="R23" s="44" cm="1">
        <f t="array" aca="1" ref="R23" ca="1">INDIRECT(ADDRESS($Q23,1))</f>
        <v>0</v>
      </c>
      <c r="S23" s="44" t="str" cm="1">
        <f t="array" aca="1" ref="S23" ca="1">IF(INDIRECT(ADDRESS($Q23,2))&lt;&gt;"",INDIRECT(ADDRESS($Q23,2)),"")</f>
        <v/>
      </c>
      <c r="T23" s="44" t="str" cm="1">
        <f t="array" aca="1" ref="T23" ca="1">IF($S23&lt;&gt;"",INDIRECT(ADDRESS($Q23,3)),"")</f>
        <v/>
      </c>
      <c r="U23" s="44" t="str" cm="1">
        <f t="array" aca="1" ref="U23" ca="1">IF($S23&lt;&gt;"",INDIRECT(ADDRESS($Q23,4)),"")</f>
        <v/>
      </c>
      <c r="V23" s="44" t="str" cm="1">
        <f t="array" aca="1" ref="V23" ca="1">IF($S23&lt;&gt;"",INDIRECT(ADDRESS($Q23,5)),"")</f>
        <v/>
      </c>
      <c r="W23" s="44" t="str" cm="1">
        <f t="array" aca="1" ref="W23" ca="1">IF($S23&lt;&gt;"",INDIRECT(ADDRESS($Q23,6)),"")</f>
        <v/>
      </c>
      <c r="X23" s="44" t="str" cm="1">
        <f t="array" aca="1" ref="X23" ca="1">IF($S23&lt;&gt;"",INDIRECT(ADDRESS($Q23,8)),"")</f>
        <v/>
      </c>
      <c r="Y23" s="44" t="str" cm="1">
        <f t="array" aca="1" ref="Y23" ca="1">IF($S23&lt;&gt;"",INDIRECT(ADDRESS($Q23,9)),"")</f>
        <v/>
      </c>
      <c r="Z23" s="44" t="str" cm="1">
        <f t="array" aca="1" ref="Z23" ca="1">IF($S23&lt;&gt;"",INDIRECT(ADDRESS($Q23,10)),"")</f>
        <v/>
      </c>
      <c r="AA23" s="44" t="str" cm="1">
        <f t="array" aca="1" ref="AA23" ca="1">IF($S23&lt;&gt;"",INDIRECT(ADDRESS($Q23+1,10)),"")</f>
        <v/>
      </c>
      <c r="AB23" s="44" t="str" cm="1">
        <f t="array" aca="1" ref="AB23" ca="1">IF($S23&lt;&gt;"",INDIRECT(ADDRESS($Q23+2,10)),"")</f>
        <v/>
      </c>
    </row>
    <row r="24" spans="1:28" ht="15" customHeight="1" x14ac:dyDescent="0.4">
      <c r="A24" s="537"/>
      <c r="B24" s="540"/>
      <c r="C24" s="543"/>
      <c r="D24" s="543"/>
      <c r="E24" s="543"/>
      <c r="F24" s="548"/>
      <c r="G24" s="549"/>
      <c r="H24" s="553"/>
      <c r="I24" s="553"/>
      <c r="J24" s="558"/>
      <c r="K24" s="559"/>
      <c r="L24" s="559"/>
      <c r="M24" s="560"/>
      <c r="P24" s="44">
        <v>20</v>
      </c>
      <c r="Q24" s="44">
        <f t="shared" si="1"/>
        <v>71</v>
      </c>
      <c r="R24" s="44" cm="1">
        <f t="array" aca="1" ref="R24" ca="1">INDIRECT(ADDRESS($Q24,1))</f>
        <v>0</v>
      </c>
      <c r="S24" s="44" t="str" cm="1">
        <f t="array" aca="1" ref="S24" ca="1">IF(INDIRECT(ADDRESS($Q24,2))&lt;&gt;"",INDIRECT(ADDRESS($Q24,2)),"")</f>
        <v/>
      </c>
      <c r="T24" s="44" t="str" cm="1">
        <f t="array" aca="1" ref="T24" ca="1">IF($S24&lt;&gt;"",INDIRECT(ADDRESS($Q24,3)),"")</f>
        <v/>
      </c>
      <c r="U24" s="44" t="str" cm="1">
        <f t="array" aca="1" ref="U24" ca="1">IF($S24&lt;&gt;"",INDIRECT(ADDRESS($Q24,4)),"")</f>
        <v/>
      </c>
      <c r="V24" s="44" t="str" cm="1">
        <f t="array" aca="1" ref="V24" ca="1">IF($S24&lt;&gt;"",INDIRECT(ADDRESS($Q24,5)),"")</f>
        <v/>
      </c>
      <c r="W24" s="44" t="str" cm="1">
        <f t="array" aca="1" ref="W24" ca="1">IF($S24&lt;&gt;"",INDIRECT(ADDRESS($Q24,6)),"")</f>
        <v/>
      </c>
      <c r="X24" s="44" t="str" cm="1">
        <f t="array" aca="1" ref="X24" ca="1">IF($S24&lt;&gt;"",INDIRECT(ADDRESS($Q24,8)),"")</f>
        <v/>
      </c>
      <c r="Y24" s="44" t="str" cm="1">
        <f t="array" aca="1" ref="Y24" ca="1">IF($S24&lt;&gt;"",INDIRECT(ADDRESS($Q24,9)),"")</f>
        <v/>
      </c>
      <c r="Z24" s="44" t="str" cm="1">
        <f t="array" aca="1" ref="Z24" ca="1">IF($S24&lt;&gt;"",INDIRECT(ADDRESS($Q24,10)),"")</f>
        <v/>
      </c>
      <c r="AA24" s="44" t="str" cm="1">
        <f t="array" aca="1" ref="AA24" ca="1">IF($S24&lt;&gt;"",INDIRECT(ADDRESS($Q24+1,10)),"")</f>
        <v/>
      </c>
      <c r="AB24" s="44" t="str" cm="1">
        <f t="array" aca="1" ref="AB24" ca="1">IF($S24&lt;&gt;"",INDIRECT(ADDRESS($Q24+2,10)),"")</f>
        <v/>
      </c>
    </row>
    <row r="25" spans="1:28" ht="15" customHeight="1" x14ac:dyDescent="0.4">
      <c r="A25" s="538"/>
      <c r="B25" s="541"/>
      <c r="C25" s="544"/>
      <c r="D25" s="544"/>
      <c r="E25" s="544"/>
      <c r="F25" s="550"/>
      <c r="G25" s="551"/>
      <c r="H25" s="554"/>
      <c r="I25" s="554"/>
      <c r="J25" s="561"/>
      <c r="K25" s="562"/>
      <c r="L25" s="562"/>
      <c r="M25" s="563"/>
      <c r="P25" s="44">
        <v>21</v>
      </c>
      <c r="Q25" s="44">
        <f t="shared" si="1"/>
        <v>84</v>
      </c>
      <c r="R25" s="44" cm="1">
        <f t="array" aca="1" ref="R25" ca="1">INDIRECT(ADDRESS($Q25,1))</f>
        <v>0</v>
      </c>
      <c r="S25" s="44" t="str" cm="1">
        <f t="array" aca="1" ref="S25" ca="1">IF(INDIRECT(ADDRESS($Q25,2))&lt;&gt;"",INDIRECT(ADDRESS($Q25,2)),"")</f>
        <v>馬名</v>
      </c>
      <c r="T25" s="44" t="str" cm="1">
        <f t="array" aca="1" ref="T25" ca="1">IF($S25&lt;&gt;"",INDIRECT(ADDRESS($Q25,3)),"")</f>
        <v>性別</v>
      </c>
      <c r="U25" s="44" t="str" cm="1">
        <f t="array" aca="1" ref="U25" ca="1">IF($S25&lt;&gt;"",INDIRECT(ADDRESS($Q25,4)),"")</f>
        <v>毛色</v>
      </c>
      <c r="V25" s="44" t="str" cm="1">
        <f t="array" aca="1" ref="V25" ca="1">IF($S25&lt;&gt;"",INDIRECT(ADDRESS($Q25,5)),"")</f>
        <v>種類</v>
      </c>
      <c r="W25" s="44" t="str" cm="1">
        <f t="array" aca="1" ref="W25" ca="1">IF($S25&lt;&gt;"",INDIRECT(ADDRESS($Q25,6)),"")</f>
        <v>産地</v>
      </c>
      <c r="X25" s="44" t="str" cm="1">
        <f t="array" aca="1" ref="X25" ca="1">IF($S25&lt;&gt;"",INDIRECT(ADDRESS($Q25,8)),"")</f>
        <v>最終伝貧
検査日</v>
      </c>
      <c r="Y25" s="44" t="str" cm="1">
        <f t="array" aca="1" ref="Y25" ca="1">IF($S25&lt;&gt;"",INDIRECT(ADDRESS($Q25,9)),"")</f>
        <v>日本脳炎予防
ワクチン接種日</v>
      </c>
      <c r="Z25" s="44" t="str" cm="1">
        <f t="array" aca="1" ref="Z25" ca="1">IF($S25&lt;&gt;"",INDIRECT(ADDRESS($Q25,10)),"")</f>
        <v>基礎・補強終了後のすべてのインフルエンザ予防接種暦</v>
      </c>
      <c r="AA25" s="44" cm="1">
        <f t="array" aca="1" ref="AA25" ca="1">IF($S25&lt;&gt;"",INDIRECT(ADDRESS($Q25+1,10)),"")</f>
        <v>0</v>
      </c>
      <c r="AB25" s="44" cm="1">
        <f t="array" aca="1" ref="AB25" ca="1">IF($S25&lt;&gt;"",INDIRECT(ADDRESS($Q25+2,10)),"")</f>
        <v>0</v>
      </c>
    </row>
    <row r="26" spans="1:28" ht="15" customHeight="1" x14ac:dyDescent="0.4">
      <c r="A26" s="536">
        <v>8</v>
      </c>
      <c r="B26" s="539" t="str">
        <f ca="1">IF(OFFSET(馬匹登録!$AC$7,A26,0)&lt;&gt;"",OFFSET(馬匹登録!$AC$7,A26,0),"")</f>
        <v/>
      </c>
      <c r="C26" s="542"/>
      <c r="D26" s="545"/>
      <c r="E26" s="545"/>
      <c r="F26" s="546"/>
      <c r="G26" s="547"/>
      <c r="H26" s="552"/>
      <c r="I26" s="552"/>
      <c r="J26" s="555"/>
      <c r="K26" s="556"/>
      <c r="L26" s="556"/>
      <c r="M26" s="557"/>
      <c r="P26" s="44">
        <v>22</v>
      </c>
      <c r="Q26" s="44">
        <f t="shared" si="1"/>
        <v>87</v>
      </c>
      <c r="R26" s="44" cm="1">
        <f t="array" aca="1" ref="R26" ca="1">INDIRECT(ADDRESS($Q26,1))</f>
        <v>0</v>
      </c>
      <c r="S26" s="44" t="str" cm="1">
        <f t="array" aca="1" ref="S26" ca="1">IF(INDIRECT(ADDRESS($Q26,2))&lt;&gt;"",INDIRECT(ADDRESS($Q26,2)),"")</f>
        <v/>
      </c>
      <c r="T26" s="44" t="str" cm="1">
        <f t="array" aca="1" ref="T26" ca="1">IF($S26&lt;&gt;"",INDIRECT(ADDRESS($Q26,3)),"")</f>
        <v/>
      </c>
      <c r="U26" s="44" t="str" cm="1">
        <f t="array" aca="1" ref="U26" ca="1">IF($S26&lt;&gt;"",INDIRECT(ADDRESS($Q26,4)),"")</f>
        <v/>
      </c>
      <c r="V26" s="44" t="str" cm="1">
        <f t="array" aca="1" ref="V26" ca="1">IF($S26&lt;&gt;"",INDIRECT(ADDRESS($Q26,5)),"")</f>
        <v/>
      </c>
      <c r="W26" s="44" t="str" cm="1">
        <f t="array" aca="1" ref="W26" ca="1">IF($S26&lt;&gt;"",INDIRECT(ADDRESS($Q26,6)),"")</f>
        <v/>
      </c>
      <c r="X26" s="44" t="str" cm="1">
        <f t="array" aca="1" ref="X26" ca="1">IF($S26&lt;&gt;"",INDIRECT(ADDRESS($Q26,8)),"")</f>
        <v/>
      </c>
      <c r="Y26" s="44" t="str" cm="1">
        <f t="array" aca="1" ref="Y26" ca="1">IF($S26&lt;&gt;"",INDIRECT(ADDRESS($Q26,9)),"")</f>
        <v/>
      </c>
      <c r="Z26" s="44" t="str" cm="1">
        <f t="array" aca="1" ref="Z26" ca="1">IF($S26&lt;&gt;"",INDIRECT(ADDRESS($Q26,10)),"")</f>
        <v/>
      </c>
      <c r="AA26" s="44" t="str" cm="1">
        <f t="array" aca="1" ref="AA26" ca="1">IF($S26&lt;&gt;"",INDIRECT(ADDRESS($Q26+1,10)),"")</f>
        <v/>
      </c>
      <c r="AB26" s="44" t="str" cm="1">
        <f t="array" aca="1" ref="AB26" ca="1">IF($S26&lt;&gt;"",INDIRECT(ADDRESS($Q26+2,10)),"")</f>
        <v/>
      </c>
    </row>
    <row r="27" spans="1:28" ht="15" customHeight="1" x14ac:dyDescent="0.4">
      <c r="A27" s="537"/>
      <c r="B27" s="540"/>
      <c r="C27" s="543"/>
      <c r="D27" s="543"/>
      <c r="E27" s="543"/>
      <c r="F27" s="548"/>
      <c r="G27" s="549"/>
      <c r="H27" s="553"/>
      <c r="I27" s="553"/>
      <c r="J27" s="558"/>
      <c r="K27" s="559"/>
      <c r="L27" s="559"/>
      <c r="M27" s="560"/>
      <c r="P27" s="44">
        <v>23</v>
      </c>
      <c r="Q27" s="44">
        <f t="shared" si="1"/>
        <v>90</v>
      </c>
      <c r="R27" s="44" cm="1">
        <f t="array" aca="1" ref="R27" ca="1">INDIRECT(ADDRESS($Q27,1))</f>
        <v>0</v>
      </c>
      <c r="S27" s="44" t="str" cm="1">
        <f t="array" aca="1" ref="S27" ca="1">IF(INDIRECT(ADDRESS($Q27,2))&lt;&gt;"",INDIRECT(ADDRESS($Q27,2)),"")</f>
        <v/>
      </c>
      <c r="T27" s="44" t="str" cm="1">
        <f t="array" aca="1" ref="T27" ca="1">IF($S27&lt;&gt;"",INDIRECT(ADDRESS($Q27,3)),"")</f>
        <v/>
      </c>
      <c r="U27" s="44" t="str" cm="1">
        <f t="array" aca="1" ref="U27" ca="1">IF($S27&lt;&gt;"",INDIRECT(ADDRESS($Q27,4)),"")</f>
        <v/>
      </c>
      <c r="V27" s="44" t="str" cm="1">
        <f t="array" aca="1" ref="V27" ca="1">IF($S27&lt;&gt;"",INDIRECT(ADDRESS($Q27,5)),"")</f>
        <v/>
      </c>
      <c r="W27" s="44" t="str" cm="1">
        <f t="array" aca="1" ref="W27" ca="1">IF($S27&lt;&gt;"",INDIRECT(ADDRESS($Q27,6)),"")</f>
        <v/>
      </c>
      <c r="X27" s="44" t="str" cm="1">
        <f t="array" aca="1" ref="X27" ca="1">IF($S27&lt;&gt;"",INDIRECT(ADDRESS($Q27,8)),"")</f>
        <v/>
      </c>
      <c r="Y27" s="44" t="str" cm="1">
        <f t="array" aca="1" ref="Y27" ca="1">IF($S27&lt;&gt;"",INDIRECT(ADDRESS($Q27,9)),"")</f>
        <v/>
      </c>
      <c r="Z27" s="44" t="str" cm="1">
        <f t="array" aca="1" ref="Z27" ca="1">IF($S27&lt;&gt;"",INDIRECT(ADDRESS($Q27,10)),"")</f>
        <v/>
      </c>
      <c r="AA27" s="44" t="str" cm="1">
        <f t="array" aca="1" ref="AA27" ca="1">IF($S27&lt;&gt;"",INDIRECT(ADDRESS($Q27+1,10)),"")</f>
        <v/>
      </c>
      <c r="AB27" s="44" t="str" cm="1">
        <f t="array" aca="1" ref="AB27" ca="1">IF($S27&lt;&gt;"",INDIRECT(ADDRESS($Q27+2,10)),"")</f>
        <v/>
      </c>
    </row>
    <row r="28" spans="1:28" ht="15" customHeight="1" x14ac:dyDescent="0.4">
      <c r="A28" s="538"/>
      <c r="B28" s="541"/>
      <c r="C28" s="544"/>
      <c r="D28" s="544"/>
      <c r="E28" s="544"/>
      <c r="F28" s="550"/>
      <c r="G28" s="551"/>
      <c r="H28" s="554"/>
      <c r="I28" s="554"/>
      <c r="J28" s="561"/>
      <c r="K28" s="562"/>
      <c r="L28" s="562"/>
      <c r="M28" s="563"/>
      <c r="P28" s="44">
        <v>24</v>
      </c>
      <c r="Q28" s="44">
        <f t="shared" si="1"/>
        <v>93</v>
      </c>
      <c r="R28" s="44" cm="1">
        <f t="array" aca="1" ref="R28" ca="1">INDIRECT(ADDRESS($Q28,1))</f>
        <v>0</v>
      </c>
      <c r="S28" s="44" t="str" cm="1">
        <f t="array" aca="1" ref="S28" ca="1">IF(INDIRECT(ADDRESS($Q28,2))&lt;&gt;"",INDIRECT(ADDRESS($Q28,2)),"")</f>
        <v/>
      </c>
      <c r="T28" s="44" t="str" cm="1">
        <f t="array" aca="1" ref="T28" ca="1">IF($S28&lt;&gt;"",INDIRECT(ADDRESS($Q28,3)),"")</f>
        <v/>
      </c>
      <c r="U28" s="44" t="str" cm="1">
        <f t="array" aca="1" ref="U28" ca="1">IF($S28&lt;&gt;"",INDIRECT(ADDRESS($Q28,4)),"")</f>
        <v/>
      </c>
      <c r="V28" s="44" t="str" cm="1">
        <f t="array" aca="1" ref="V28" ca="1">IF($S28&lt;&gt;"",INDIRECT(ADDRESS($Q28,5)),"")</f>
        <v/>
      </c>
      <c r="W28" s="44" t="str" cm="1">
        <f t="array" aca="1" ref="W28" ca="1">IF($S28&lt;&gt;"",INDIRECT(ADDRESS($Q28,6)),"")</f>
        <v/>
      </c>
      <c r="X28" s="44" t="str" cm="1">
        <f t="array" aca="1" ref="X28" ca="1">IF($S28&lt;&gt;"",INDIRECT(ADDRESS($Q28,8)),"")</f>
        <v/>
      </c>
      <c r="Y28" s="44" t="str" cm="1">
        <f t="array" aca="1" ref="Y28" ca="1">IF($S28&lt;&gt;"",INDIRECT(ADDRESS($Q28,9)),"")</f>
        <v/>
      </c>
      <c r="Z28" s="44" t="str" cm="1">
        <f t="array" aca="1" ref="Z28" ca="1">IF($S28&lt;&gt;"",INDIRECT(ADDRESS($Q28,10)),"")</f>
        <v/>
      </c>
      <c r="AA28" s="44" t="str" cm="1">
        <f t="array" aca="1" ref="AA28" ca="1">IF($S28&lt;&gt;"",INDIRECT(ADDRESS($Q28+1,10)),"")</f>
        <v/>
      </c>
      <c r="AB28" s="44" t="str" cm="1">
        <f t="array" aca="1" ref="AB28" ca="1">IF($S28&lt;&gt;"",INDIRECT(ADDRESS($Q28+2,10)),"")</f>
        <v/>
      </c>
    </row>
    <row r="29" spans="1:28" ht="15" customHeight="1" x14ac:dyDescent="0.4">
      <c r="A29" s="536">
        <v>9</v>
      </c>
      <c r="B29" s="539" t="str">
        <f ca="1">IF(OFFSET(馬匹登録!$AC$7,A29,0)&lt;&gt;"",OFFSET(馬匹登録!$AC$7,A29,0),"")</f>
        <v/>
      </c>
      <c r="C29" s="542"/>
      <c r="D29" s="545"/>
      <c r="E29" s="545"/>
      <c r="F29" s="546"/>
      <c r="G29" s="547"/>
      <c r="H29" s="552"/>
      <c r="I29" s="552"/>
      <c r="J29" s="555"/>
      <c r="K29" s="556"/>
      <c r="L29" s="556"/>
      <c r="M29" s="557"/>
      <c r="P29" s="44">
        <v>25</v>
      </c>
      <c r="Q29" s="44">
        <f t="shared" si="1"/>
        <v>96</v>
      </c>
      <c r="R29" s="44" cm="1">
        <f t="array" aca="1" ref="R29" ca="1">INDIRECT(ADDRESS($Q29,1))</f>
        <v>0</v>
      </c>
      <c r="S29" s="44" t="str" cm="1">
        <f t="array" aca="1" ref="S29" ca="1">IF(INDIRECT(ADDRESS($Q29,2))&lt;&gt;"",INDIRECT(ADDRESS($Q29,2)),"")</f>
        <v/>
      </c>
      <c r="T29" s="44" t="str" cm="1">
        <f t="array" aca="1" ref="T29" ca="1">IF($S29&lt;&gt;"",INDIRECT(ADDRESS($Q29,3)),"")</f>
        <v/>
      </c>
      <c r="U29" s="44" t="str" cm="1">
        <f t="array" aca="1" ref="U29" ca="1">IF($S29&lt;&gt;"",INDIRECT(ADDRESS($Q29,4)),"")</f>
        <v/>
      </c>
      <c r="V29" s="44" t="str" cm="1">
        <f t="array" aca="1" ref="V29" ca="1">IF($S29&lt;&gt;"",INDIRECT(ADDRESS($Q29,5)),"")</f>
        <v/>
      </c>
      <c r="W29" s="44" t="str" cm="1">
        <f t="array" aca="1" ref="W29" ca="1">IF($S29&lt;&gt;"",INDIRECT(ADDRESS($Q29,6)),"")</f>
        <v/>
      </c>
      <c r="X29" s="44" t="str" cm="1">
        <f t="array" aca="1" ref="X29" ca="1">IF($S29&lt;&gt;"",INDIRECT(ADDRESS($Q29,8)),"")</f>
        <v/>
      </c>
      <c r="Y29" s="44" t="str" cm="1">
        <f t="array" aca="1" ref="Y29" ca="1">IF($S29&lt;&gt;"",INDIRECT(ADDRESS($Q29,9)),"")</f>
        <v/>
      </c>
      <c r="Z29" s="44" t="str" cm="1">
        <f t="array" aca="1" ref="Z29" ca="1">IF($S29&lt;&gt;"",INDIRECT(ADDRESS($Q29,10)),"")</f>
        <v/>
      </c>
      <c r="AA29" s="44" t="str" cm="1">
        <f t="array" aca="1" ref="AA29" ca="1">IF($S29&lt;&gt;"",INDIRECT(ADDRESS($Q29+1,10)),"")</f>
        <v/>
      </c>
      <c r="AB29" s="44" t="str" cm="1">
        <f t="array" aca="1" ref="AB29" ca="1">IF($S29&lt;&gt;"",INDIRECT(ADDRESS($Q29+2,10)),"")</f>
        <v/>
      </c>
    </row>
    <row r="30" spans="1:28" ht="15" customHeight="1" x14ac:dyDescent="0.4">
      <c r="A30" s="537"/>
      <c r="B30" s="540"/>
      <c r="C30" s="543"/>
      <c r="D30" s="543"/>
      <c r="E30" s="543"/>
      <c r="F30" s="548"/>
      <c r="G30" s="549"/>
      <c r="H30" s="553"/>
      <c r="I30" s="553"/>
      <c r="J30" s="558"/>
      <c r="K30" s="559"/>
      <c r="L30" s="559"/>
      <c r="M30" s="560"/>
      <c r="P30" s="44">
        <v>26</v>
      </c>
      <c r="Q30" s="44">
        <f t="shared" si="1"/>
        <v>99</v>
      </c>
      <c r="R30" s="44" cm="1">
        <f t="array" aca="1" ref="R30" ca="1">INDIRECT(ADDRESS($Q30,1))</f>
        <v>0</v>
      </c>
      <c r="S30" s="44" t="str" cm="1">
        <f t="array" aca="1" ref="S30" ca="1">IF(INDIRECT(ADDRESS($Q30,2))&lt;&gt;"",INDIRECT(ADDRESS($Q30,2)),"")</f>
        <v/>
      </c>
      <c r="T30" s="44" t="str" cm="1">
        <f t="array" aca="1" ref="T30" ca="1">IF($S30&lt;&gt;"",INDIRECT(ADDRESS($Q30,3)),"")</f>
        <v/>
      </c>
      <c r="U30" s="44" t="str" cm="1">
        <f t="array" aca="1" ref="U30" ca="1">IF($S30&lt;&gt;"",INDIRECT(ADDRESS($Q30,4)),"")</f>
        <v/>
      </c>
      <c r="V30" s="44" t="str" cm="1">
        <f t="array" aca="1" ref="V30" ca="1">IF($S30&lt;&gt;"",INDIRECT(ADDRESS($Q30,5)),"")</f>
        <v/>
      </c>
      <c r="W30" s="44" t="str" cm="1">
        <f t="array" aca="1" ref="W30" ca="1">IF($S30&lt;&gt;"",INDIRECT(ADDRESS($Q30,6)),"")</f>
        <v/>
      </c>
      <c r="X30" s="44" t="str" cm="1">
        <f t="array" aca="1" ref="X30" ca="1">IF($S30&lt;&gt;"",INDIRECT(ADDRESS($Q30,8)),"")</f>
        <v/>
      </c>
      <c r="Y30" s="44" t="str" cm="1">
        <f t="array" aca="1" ref="Y30" ca="1">IF($S30&lt;&gt;"",INDIRECT(ADDRESS($Q30,9)),"")</f>
        <v/>
      </c>
      <c r="Z30" s="44" t="str" cm="1">
        <f t="array" aca="1" ref="Z30" ca="1">IF($S30&lt;&gt;"",INDIRECT(ADDRESS($Q30,10)),"")</f>
        <v/>
      </c>
      <c r="AA30" s="44" t="str" cm="1">
        <f t="array" aca="1" ref="AA30" ca="1">IF($S30&lt;&gt;"",INDIRECT(ADDRESS($Q30+1,10)),"")</f>
        <v/>
      </c>
      <c r="AB30" s="44" t="str" cm="1">
        <f t="array" aca="1" ref="AB30" ca="1">IF($S30&lt;&gt;"",INDIRECT(ADDRESS($Q30+2,10)),"")</f>
        <v/>
      </c>
    </row>
    <row r="31" spans="1:28" ht="15" customHeight="1" x14ac:dyDescent="0.4">
      <c r="A31" s="538"/>
      <c r="B31" s="541"/>
      <c r="C31" s="544"/>
      <c r="D31" s="544"/>
      <c r="E31" s="544"/>
      <c r="F31" s="550"/>
      <c r="G31" s="551"/>
      <c r="H31" s="554"/>
      <c r="I31" s="554"/>
      <c r="J31" s="561"/>
      <c r="K31" s="562"/>
      <c r="L31" s="562"/>
      <c r="M31" s="563"/>
      <c r="P31" s="44">
        <v>27</v>
      </c>
      <c r="Q31" s="44">
        <f t="shared" si="1"/>
        <v>102</v>
      </c>
      <c r="R31" s="44" cm="1">
        <f t="array" aca="1" ref="R31" ca="1">INDIRECT(ADDRESS($Q31,1))</f>
        <v>0</v>
      </c>
      <c r="S31" s="44" t="str" cm="1">
        <f t="array" aca="1" ref="S31" ca="1">IF(INDIRECT(ADDRESS($Q31,2))&lt;&gt;"",INDIRECT(ADDRESS($Q31,2)),"")</f>
        <v/>
      </c>
      <c r="T31" s="44" t="str" cm="1">
        <f t="array" aca="1" ref="T31" ca="1">IF($S31&lt;&gt;"",INDIRECT(ADDRESS($Q31,3)),"")</f>
        <v/>
      </c>
      <c r="U31" s="44" t="str" cm="1">
        <f t="array" aca="1" ref="U31" ca="1">IF($S31&lt;&gt;"",INDIRECT(ADDRESS($Q31,4)),"")</f>
        <v/>
      </c>
      <c r="V31" s="44" t="str" cm="1">
        <f t="array" aca="1" ref="V31" ca="1">IF($S31&lt;&gt;"",INDIRECT(ADDRESS($Q31,5)),"")</f>
        <v/>
      </c>
      <c r="W31" s="44" t="str" cm="1">
        <f t="array" aca="1" ref="W31" ca="1">IF($S31&lt;&gt;"",INDIRECT(ADDRESS($Q31,6)),"")</f>
        <v/>
      </c>
      <c r="X31" s="44" t="str" cm="1">
        <f t="array" aca="1" ref="X31" ca="1">IF($S31&lt;&gt;"",INDIRECT(ADDRESS($Q31,8)),"")</f>
        <v/>
      </c>
      <c r="Y31" s="44" t="str" cm="1">
        <f t="array" aca="1" ref="Y31" ca="1">IF($S31&lt;&gt;"",INDIRECT(ADDRESS($Q31,9)),"")</f>
        <v/>
      </c>
      <c r="Z31" s="44" t="str" cm="1">
        <f t="array" aca="1" ref="Z31" ca="1">IF($S31&lt;&gt;"",INDIRECT(ADDRESS($Q31,10)),"")</f>
        <v/>
      </c>
      <c r="AA31" s="44" t="str" cm="1">
        <f t="array" aca="1" ref="AA31" ca="1">IF($S31&lt;&gt;"",INDIRECT(ADDRESS($Q31+1,10)),"")</f>
        <v/>
      </c>
      <c r="AB31" s="44" t="str" cm="1">
        <f t="array" aca="1" ref="AB31" ca="1">IF($S31&lt;&gt;"",INDIRECT(ADDRESS($Q31+2,10)),"")</f>
        <v/>
      </c>
    </row>
    <row r="32" spans="1:28" ht="15" customHeight="1" x14ac:dyDescent="0.4">
      <c r="A32" s="536">
        <v>10</v>
      </c>
      <c r="B32" s="539" t="str">
        <f ca="1">IF(OFFSET(馬匹登録!$AC$7,A32,0)&lt;&gt;"",OFFSET(馬匹登録!$AC$7,A32,0),"")</f>
        <v/>
      </c>
      <c r="C32" s="542"/>
      <c r="D32" s="545"/>
      <c r="E32" s="545"/>
      <c r="F32" s="546"/>
      <c r="G32" s="547"/>
      <c r="H32" s="552"/>
      <c r="I32" s="552"/>
      <c r="J32" s="555"/>
      <c r="K32" s="556"/>
      <c r="L32" s="556"/>
      <c r="M32" s="557"/>
      <c r="P32" s="44">
        <v>28</v>
      </c>
      <c r="Q32" s="44">
        <f t="shared" si="1"/>
        <v>105</v>
      </c>
      <c r="R32" s="44" cm="1">
        <f t="array" aca="1" ref="R32" ca="1">INDIRECT(ADDRESS($Q32,1))</f>
        <v>0</v>
      </c>
      <c r="S32" s="44" t="str" cm="1">
        <f t="array" aca="1" ref="S32" ca="1">IF(INDIRECT(ADDRESS($Q32,2))&lt;&gt;"",INDIRECT(ADDRESS($Q32,2)),"")</f>
        <v/>
      </c>
      <c r="T32" s="44" t="str" cm="1">
        <f t="array" aca="1" ref="T32" ca="1">IF($S32&lt;&gt;"",INDIRECT(ADDRESS($Q32,3)),"")</f>
        <v/>
      </c>
      <c r="U32" s="44" t="str" cm="1">
        <f t="array" aca="1" ref="U32" ca="1">IF($S32&lt;&gt;"",INDIRECT(ADDRESS($Q32,4)),"")</f>
        <v/>
      </c>
      <c r="V32" s="44" t="str" cm="1">
        <f t="array" aca="1" ref="V32" ca="1">IF($S32&lt;&gt;"",INDIRECT(ADDRESS($Q32,5)),"")</f>
        <v/>
      </c>
      <c r="W32" s="44" t="str" cm="1">
        <f t="array" aca="1" ref="W32" ca="1">IF($S32&lt;&gt;"",INDIRECT(ADDRESS($Q32,6)),"")</f>
        <v/>
      </c>
      <c r="X32" s="44" t="str" cm="1">
        <f t="array" aca="1" ref="X32" ca="1">IF($S32&lt;&gt;"",INDIRECT(ADDRESS($Q32,8)),"")</f>
        <v/>
      </c>
      <c r="Y32" s="44" t="str" cm="1">
        <f t="array" aca="1" ref="Y32" ca="1">IF($S32&lt;&gt;"",INDIRECT(ADDRESS($Q32,9)),"")</f>
        <v/>
      </c>
      <c r="Z32" s="44" t="str" cm="1">
        <f t="array" aca="1" ref="Z32" ca="1">IF($S32&lt;&gt;"",INDIRECT(ADDRESS($Q32,10)),"")</f>
        <v/>
      </c>
      <c r="AA32" s="44" t="str" cm="1">
        <f t="array" aca="1" ref="AA32" ca="1">IF($S32&lt;&gt;"",INDIRECT(ADDRESS($Q32+1,10)),"")</f>
        <v/>
      </c>
      <c r="AB32" s="44" t="str" cm="1">
        <f t="array" aca="1" ref="AB32" ca="1">IF($S32&lt;&gt;"",INDIRECT(ADDRESS($Q32+2,10)),"")</f>
        <v/>
      </c>
    </row>
    <row r="33" spans="1:28" ht="15" customHeight="1" x14ac:dyDescent="0.4">
      <c r="A33" s="537"/>
      <c r="B33" s="540"/>
      <c r="C33" s="543"/>
      <c r="D33" s="543"/>
      <c r="E33" s="543"/>
      <c r="F33" s="548"/>
      <c r="G33" s="549"/>
      <c r="H33" s="553"/>
      <c r="I33" s="553"/>
      <c r="J33" s="558"/>
      <c r="K33" s="559"/>
      <c r="L33" s="559"/>
      <c r="M33" s="560"/>
      <c r="P33" s="44">
        <v>29</v>
      </c>
      <c r="Q33" s="44">
        <f t="shared" si="1"/>
        <v>108</v>
      </c>
      <c r="R33" s="44" cm="1">
        <f t="array" aca="1" ref="R33" ca="1">INDIRECT(ADDRESS($Q33,1))</f>
        <v>0</v>
      </c>
      <c r="S33" s="44" t="str" cm="1">
        <f t="array" aca="1" ref="S33" ca="1">IF(INDIRECT(ADDRESS($Q33,2))&lt;&gt;"",INDIRECT(ADDRESS($Q33,2)),"")</f>
        <v/>
      </c>
      <c r="T33" s="44" t="str" cm="1">
        <f t="array" aca="1" ref="T33" ca="1">IF($S33&lt;&gt;"",INDIRECT(ADDRESS($Q33,3)),"")</f>
        <v/>
      </c>
      <c r="U33" s="44" t="str" cm="1">
        <f t="array" aca="1" ref="U33" ca="1">IF($S33&lt;&gt;"",INDIRECT(ADDRESS($Q33,4)),"")</f>
        <v/>
      </c>
      <c r="V33" s="44" t="str" cm="1">
        <f t="array" aca="1" ref="V33" ca="1">IF($S33&lt;&gt;"",INDIRECT(ADDRESS($Q33,5)),"")</f>
        <v/>
      </c>
      <c r="W33" s="44" t="str" cm="1">
        <f t="array" aca="1" ref="W33" ca="1">IF($S33&lt;&gt;"",INDIRECT(ADDRESS($Q33,6)),"")</f>
        <v/>
      </c>
      <c r="X33" s="44" t="str" cm="1">
        <f t="array" aca="1" ref="X33" ca="1">IF($S33&lt;&gt;"",INDIRECT(ADDRESS($Q33,8)),"")</f>
        <v/>
      </c>
      <c r="Y33" s="44" t="str" cm="1">
        <f t="array" aca="1" ref="Y33" ca="1">IF($S33&lt;&gt;"",INDIRECT(ADDRESS($Q33,9)),"")</f>
        <v/>
      </c>
      <c r="Z33" s="44" t="str" cm="1">
        <f t="array" aca="1" ref="Z33" ca="1">IF($S33&lt;&gt;"",INDIRECT(ADDRESS($Q33,10)),"")</f>
        <v/>
      </c>
      <c r="AA33" s="44" t="str" cm="1">
        <f t="array" aca="1" ref="AA33" ca="1">IF($S33&lt;&gt;"",INDIRECT(ADDRESS($Q33+1,10)),"")</f>
        <v/>
      </c>
      <c r="AB33" s="44" t="str" cm="1">
        <f t="array" aca="1" ref="AB33" ca="1">IF($S33&lt;&gt;"",INDIRECT(ADDRESS($Q33+2,10)),"")</f>
        <v/>
      </c>
    </row>
    <row r="34" spans="1:28" ht="15" customHeight="1" x14ac:dyDescent="0.4">
      <c r="A34" s="538"/>
      <c r="B34" s="541"/>
      <c r="C34" s="544"/>
      <c r="D34" s="544"/>
      <c r="E34" s="544"/>
      <c r="F34" s="550"/>
      <c r="G34" s="551"/>
      <c r="H34" s="554"/>
      <c r="I34" s="554"/>
      <c r="J34" s="561"/>
      <c r="K34" s="562"/>
      <c r="L34" s="562"/>
      <c r="M34" s="563"/>
      <c r="P34" s="44">
        <v>30</v>
      </c>
      <c r="Q34" s="44">
        <f t="shared" si="1"/>
        <v>111</v>
      </c>
      <c r="R34" s="44" cm="1">
        <f t="array" aca="1" ref="R34" ca="1">INDIRECT(ADDRESS($Q34,1))</f>
        <v>0</v>
      </c>
      <c r="S34" s="44" t="str" cm="1">
        <f t="array" aca="1" ref="S34" ca="1">IF(INDIRECT(ADDRESS($Q34,2))&lt;&gt;"",INDIRECT(ADDRESS($Q34,2)),"")</f>
        <v/>
      </c>
      <c r="T34" s="44" t="str" cm="1">
        <f t="array" aca="1" ref="T34" ca="1">IF($S34&lt;&gt;"",INDIRECT(ADDRESS($Q34,3)),"")</f>
        <v/>
      </c>
      <c r="U34" s="44" t="str" cm="1">
        <f t="array" aca="1" ref="U34" ca="1">IF($S34&lt;&gt;"",INDIRECT(ADDRESS($Q34,4)),"")</f>
        <v/>
      </c>
      <c r="V34" s="44" t="str" cm="1">
        <f t="array" aca="1" ref="V34" ca="1">IF($S34&lt;&gt;"",INDIRECT(ADDRESS($Q34,5)),"")</f>
        <v/>
      </c>
      <c r="W34" s="44" t="str" cm="1">
        <f t="array" aca="1" ref="W34" ca="1">IF($S34&lt;&gt;"",INDIRECT(ADDRESS($Q34,6)),"")</f>
        <v/>
      </c>
      <c r="X34" s="44" t="str" cm="1">
        <f t="array" aca="1" ref="X34" ca="1">IF($S34&lt;&gt;"",INDIRECT(ADDRESS($Q34,8)),"")</f>
        <v/>
      </c>
      <c r="Y34" s="44" t="str" cm="1">
        <f t="array" aca="1" ref="Y34" ca="1">IF($S34&lt;&gt;"",INDIRECT(ADDRESS($Q34,9)),"")</f>
        <v/>
      </c>
      <c r="Z34" s="44" t="str" cm="1">
        <f t="array" aca="1" ref="Z34" ca="1">IF($S34&lt;&gt;"",INDIRECT(ADDRESS($Q34,10)),"")</f>
        <v/>
      </c>
      <c r="AA34" s="44" t="str" cm="1">
        <f t="array" aca="1" ref="AA34" ca="1">IF($S34&lt;&gt;"",INDIRECT(ADDRESS($Q34+1,10)),"")</f>
        <v/>
      </c>
      <c r="AB34" s="44" t="str" cm="1">
        <f t="array" aca="1" ref="AB34" ca="1">IF($S34&lt;&gt;"",INDIRECT(ADDRESS($Q34+2,10)),"")</f>
        <v/>
      </c>
    </row>
    <row r="35" spans="1:28" ht="21" customHeight="1" x14ac:dyDescent="0.4">
      <c r="D35" s="1" t="s">
        <v>135</v>
      </c>
      <c r="E35" s="150" t="str">
        <f>マスタ!E6</f>
        <v>2023年</v>
      </c>
      <c r="F35" s="151" t="s">
        <v>1844</v>
      </c>
      <c r="G35" s="152" t="s">
        <v>144</v>
      </c>
      <c r="H35" s="153" t="s">
        <v>293</v>
      </c>
      <c r="I35" s="154" t="s">
        <v>137</v>
      </c>
      <c r="P35" s="44">
        <v>31</v>
      </c>
      <c r="Q35" s="44">
        <f t="shared" si="1"/>
        <v>124</v>
      </c>
      <c r="R35" s="44" cm="1">
        <f t="array" aca="1" ref="R35" ca="1">INDIRECT(ADDRESS($Q35,1))</f>
        <v>0</v>
      </c>
      <c r="S35" s="44" t="str" cm="1">
        <f t="array" aca="1" ref="S35" ca="1">IF(INDIRECT(ADDRESS($Q35,2))&lt;&gt;"",INDIRECT(ADDRESS($Q35,2)),"")</f>
        <v>馬名</v>
      </c>
      <c r="T35" s="44" t="str" cm="1">
        <f t="array" aca="1" ref="T35" ca="1">IF($S35&lt;&gt;"",INDIRECT(ADDRESS($Q35,3)),"")</f>
        <v>性別</v>
      </c>
      <c r="U35" s="44" t="str" cm="1">
        <f t="array" aca="1" ref="U35" ca="1">IF($S35&lt;&gt;"",INDIRECT(ADDRESS($Q35,4)),"")</f>
        <v>毛色</v>
      </c>
      <c r="V35" s="44" t="str" cm="1">
        <f t="array" aca="1" ref="V35" ca="1">IF($S35&lt;&gt;"",INDIRECT(ADDRESS($Q35,5)),"")</f>
        <v>種類</v>
      </c>
      <c r="W35" s="44" t="str" cm="1">
        <f t="array" aca="1" ref="W35" ca="1">IF($S35&lt;&gt;"",INDIRECT(ADDRESS($Q35,6)),"")</f>
        <v>産地</v>
      </c>
      <c r="X35" s="44" t="str" cm="1">
        <f t="array" aca="1" ref="X35" ca="1">IF($S35&lt;&gt;"",INDIRECT(ADDRESS($Q35,8)),"")</f>
        <v>最終伝貧
検査日</v>
      </c>
      <c r="Y35" s="44" t="str" cm="1">
        <f t="array" aca="1" ref="Y35" ca="1">IF($S35&lt;&gt;"",INDIRECT(ADDRESS($Q35,9)),"")</f>
        <v>日本脳炎予防
ワクチン接種日</v>
      </c>
      <c r="Z35" s="44" t="str" cm="1">
        <f t="array" aca="1" ref="Z35" ca="1">IF($S35&lt;&gt;"",INDIRECT(ADDRESS($Q35,10)),"")</f>
        <v>基礎・補強終了後のすべてのインフルエンザ予防接種暦</v>
      </c>
      <c r="AA35" s="44" cm="1">
        <f t="array" aca="1" ref="AA35" ca="1">IF($S35&lt;&gt;"",INDIRECT(ADDRESS($Q35+1,10)),"")</f>
        <v>0</v>
      </c>
      <c r="AB35" s="44" cm="1">
        <f t="array" aca="1" ref="AB35" ca="1">IF($S35&lt;&gt;"",INDIRECT(ADDRESS($Q35+2,10)),"")</f>
        <v>0</v>
      </c>
    </row>
    <row r="36" spans="1:28" ht="21" customHeight="1" x14ac:dyDescent="0.4">
      <c r="D36" s="1" t="s">
        <v>138</v>
      </c>
      <c r="E36" s="150" t="str">
        <f>E35</f>
        <v>2023年</v>
      </c>
      <c r="F36" s="151" t="s">
        <v>1844</v>
      </c>
      <c r="G36" s="152" t="s">
        <v>144</v>
      </c>
      <c r="H36" s="153" t="s">
        <v>136</v>
      </c>
      <c r="I36" s="154" t="s">
        <v>137</v>
      </c>
      <c r="P36" s="44">
        <v>32</v>
      </c>
      <c r="Q36" s="44">
        <f t="shared" si="1"/>
        <v>127</v>
      </c>
      <c r="R36" s="44" cm="1">
        <f t="array" aca="1" ref="R36" ca="1">INDIRECT(ADDRESS($Q36,1))</f>
        <v>0</v>
      </c>
      <c r="S36" s="44" t="str" cm="1">
        <f t="array" aca="1" ref="S36" ca="1">IF(INDIRECT(ADDRESS($Q36,2))&lt;&gt;"",INDIRECT(ADDRESS($Q36,2)),"")</f>
        <v/>
      </c>
      <c r="T36" s="44" t="str" cm="1">
        <f t="array" aca="1" ref="T36" ca="1">IF($S36&lt;&gt;"",INDIRECT(ADDRESS($Q36,3)),"")</f>
        <v/>
      </c>
      <c r="U36" s="44" t="str" cm="1">
        <f t="array" aca="1" ref="U36" ca="1">IF($S36&lt;&gt;"",INDIRECT(ADDRESS($Q36,4)),"")</f>
        <v/>
      </c>
      <c r="V36" s="44" t="str" cm="1">
        <f t="array" aca="1" ref="V36" ca="1">IF($S36&lt;&gt;"",INDIRECT(ADDRESS($Q36,5)),"")</f>
        <v/>
      </c>
      <c r="W36" s="44" t="str" cm="1">
        <f t="array" aca="1" ref="W36" ca="1">IF($S36&lt;&gt;"",INDIRECT(ADDRESS($Q36,6)),"")</f>
        <v/>
      </c>
      <c r="X36" s="44" t="str" cm="1">
        <f t="array" aca="1" ref="X36" ca="1">IF($S36&lt;&gt;"",INDIRECT(ADDRESS($Q36,8)),"")</f>
        <v/>
      </c>
      <c r="Y36" s="44" t="str" cm="1">
        <f t="array" aca="1" ref="Y36" ca="1">IF($S36&lt;&gt;"",INDIRECT(ADDRESS($Q36,9)),"")</f>
        <v/>
      </c>
      <c r="Z36" s="44" t="str" cm="1">
        <f t="array" aca="1" ref="Z36" ca="1">IF($S36&lt;&gt;"",INDIRECT(ADDRESS($Q36,10)),"")</f>
        <v/>
      </c>
      <c r="AA36" s="44" t="str" cm="1">
        <f t="array" aca="1" ref="AA36" ca="1">IF($S36&lt;&gt;"",INDIRECT(ADDRESS($Q36+1,10)),"")</f>
        <v/>
      </c>
      <c r="AB36" s="44" t="str" cm="1">
        <f t="array" aca="1" ref="AB36" ca="1">IF($S36&lt;&gt;"",INDIRECT(ADDRESS($Q36+2,10)),"")</f>
        <v/>
      </c>
    </row>
    <row r="37" spans="1:28" ht="6" customHeight="1" x14ac:dyDescent="0.4">
      <c r="P37" s="44">
        <v>33</v>
      </c>
      <c r="Q37" s="44">
        <f t="shared" si="1"/>
        <v>130</v>
      </c>
      <c r="R37" s="44" cm="1">
        <f t="array" aca="1" ref="R37" ca="1">INDIRECT(ADDRESS($Q37,1))</f>
        <v>0</v>
      </c>
      <c r="S37" s="44" t="str" cm="1">
        <f t="array" aca="1" ref="S37" ca="1">IF(INDIRECT(ADDRESS($Q37,2))&lt;&gt;"",INDIRECT(ADDRESS($Q37,2)),"")</f>
        <v/>
      </c>
      <c r="T37" s="44" t="str" cm="1">
        <f t="array" aca="1" ref="T37" ca="1">IF($S37&lt;&gt;"",INDIRECT(ADDRESS($Q37,3)),"")</f>
        <v/>
      </c>
      <c r="U37" s="44" t="str" cm="1">
        <f t="array" aca="1" ref="U37" ca="1">IF($S37&lt;&gt;"",INDIRECT(ADDRESS($Q37,4)),"")</f>
        <v/>
      </c>
      <c r="V37" s="44" t="str" cm="1">
        <f t="array" aca="1" ref="V37" ca="1">IF($S37&lt;&gt;"",INDIRECT(ADDRESS($Q37,5)),"")</f>
        <v/>
      </c>
      <c r="W37" s="44" t="str" cm="1">
        <f t="array" aca="1" ref="W37" ca="1">IF($S37&lt;&gt;"",INDIRECT(ADDRESS($Q37,6)),"")</f>
        <v/>
      </c>
      <c r="X37" s="44" t="str" cm="1">
        <f t="array" aca="1" ref="X37" ca="1">IF($S37&lt;&gt;"",INDIRECT(ADDRESS($Q37,8)),"")</f>
        <v/>
      </c>
      <c r="Y37" s="44" t="str" cm="1">
        <f t="array" aca="1" ref="Y37" ca="1">IF($S37&lt;&gt;"",INDIRECT(ADDRESS($Q37,9)),"")</f>
        <v/>
      </c>
      <c r="Z37" s="44" t="str" cm="1">
        <f t="array" aca="1" ref="Z37" ca="1">IF($S37&lt;&gt;"",INDIRECT(ADDRESS($Q37,10)),"")</f>
        <v/>
      </c>
      <c r="AA37" s="44" t="str" cm="1">
        <f t="array" aca="1" ref="AA37" ca="1">IF($S37&lt;&gt;"",INDIRECT(ADDRESS($Q37+1,10)),"")</f>
        <v/>
      </c>
      <c r="AB37" s="44" t="str" cm="1">
        <f t="array" aca="1" ref="AB37" ca="1">IF($S37&lt;&gt;"",INDIRECT(ADDRESS($Q37+2,10)),"")</f>
        <v/>
      </c>
    </row>
    <row r="38" spans="1:28" ht="24" customHeight="1" x14ac:dyDescent="0.4">
      <c r="B38" s="49" t="s">
        <v>139</v>
      </c>
      <c r="J38" s="47" t="s">
        <v>18</v>
      </c>
      <c r="K38" s="534" t="str">
        <f>IF(団体登録!$B$7&lt;&gt;"",団体登録!$B$7,"")</f>
        <v/>
      </c>
      <c r="L38" s="534"/>
      <c r="P38" s="44">
        <v>34</v>
      </c>
      <c r="Q38" s="44">
        <f t="shared" si="1"/>
        <v>133</v>
      </c>
      <c r="R38" s="44" cm="1">
        <f t="array" aca="1" ref="R38" ca="1">INDIRECT(ADDRESS($Q38,1))</f>
        <v>0</v>
      </c>
      <c r="S38" s="44" t="str" cm="1">
        <f t="array" aca="1" ref="S38" ca="1">IF(INDIRECT(ADDRESS($Q38,2))&lt;&gt;"",INDIRECT(ADDRESS($Q38,2)),"")</f>
        <v/>
      </c>
      <c r="T38" s="44" t="str" cm="1">
        <f t="array" aca="1" ref="T38" ca="1">IF($S38&lt;&gt;"",INDIRECT(ADDRESS($Q38,3)),"")</f>
        <v/>
      </c>
      <c r="U38" s="44" t="str" cm="1">
        <f t="array" aca="1" ref="U38" ca="1">IF($S38&lt;&gt;"",INDIRECT(ADDRESS($Q38,4)),"")</f>
        <v/>
      </c>
      <c r="V38" s="44" t="str" cm="1">
        <f t="array" aca="1" ref="V38" ca="1">IF($S38&lt;&gt;"",INDIRECT(ADDRESS($Q38,5)),"")</f>
        <v/>
      </c>
      <c r="W38" s="44" t="str" cm="1">
        <f t="array" aca="1" ref="W38" ca="1">IF($S38&lt;&gt;"",INDIRECT(ADDRESS($Q38,6)),"")</f>
        <v/>
      </c>
      <c r="X38" s="44" t="str" cm="1">
        <f t="array" aca="1" ref="X38" ca="1">IF($S38&lt;&gt;"",INDIRECT(ADDRESS($Q38,8)),"")</f>
        <v/>
      </c>
      <c r="Y38" s="44" t="str" cm="1">
        <f t="array" aca="1" ref="Y38" ca="1">IF($S38&lt;&gt;"",INDIRECT(ADDRESS($Q38,9)),"")</f>
        <v/>
      </c>
      <c r="Z38" s="44" t="str" cm="1">
        <f t="array" aca="1" ref="Z38" ca="1">IF($S38&lt;&gt;"",INDIRECT(ADDRESS($Q38,10)),"")</f>
        <v/>
      </c>
      <c r="AA38" s="44" t="str" cm="1">
        <f t="array" aca="1" ref="AA38" ca="1">IF($S38&lt;&gt;"",INDIRECT(ADDRESS($Q38+1,10)),"")</f>
        <v/>
      </c>
      <c r="AB38" s="44" t="str" cm="1">
        <f t="array" aca="1" ref="AB38" ca="1">IF($S38&lt;&gt;"",INDIRECT(ADDRESS($Q38+2,10)),"")</f>
        <v/>
      </c>
    </row>
    <row r="39" spans="1:28" ht="24" customHeight="1" x14ac:dyDescent="0.4">
      <c r="J39" s="48" t="s">
        <v>21</v>
      </c>
      <c r="K39" s="155" t="str">
        <f>IF(団体登録!$B$12&lt;&gt;"",団体登録!$B$12,"")</f>
        <v/>
      </c>
      <c r="L39" s="156" t="s">
        <v>143</v>
      </c>
      <c r="P39" s="44">
        <v>35</v>
      </c>
      <c r="Q39" s="44">
        <f t="shared" si="1"/>
        <v>136</v>
      </c>
      <c r="R39" s="44" cm="1">
        <f t="array" aca="1" ref="R39" ca="1">INDIRECT(ADDRESS($Q39,1))</f>
        <v>0</v>
      </c>
      <c r="S39" s="44" t="str" cm="1">
        <f t="array" aca="1" ref="S39" ca="1">IF(INDIRECT(ADDRESS($Q39,2))&lt;&gt;"",INDIRECT(ADDRESS($Q39,2)),"")</f>
        <v/>
      </c>
      <c r="T39" s="44" t="str" cm="1">
        <f t="array" aca="1" ref="T39" ca="1">IF($S39&lt;&gt;"",INDIRECT(ADDRESS($Q39,3)),"")</f>
        <v/>
      </c>
      <c r="U39" s="44" t="str" cm="1">
        <f t="array" aca="1" ref="U39" ca="1">IF($S39&lt;&gt;"",INDIRECT(ADDRESS($Q39,4)),"")</f>
        <v/>
      </c>
      <c r="V39" s="44" t="str" cm="1">
        <f t="array" aca="1" ref="V39" ca="1">IF($S39&lt;&gt;"",INDIRECT(ADDRESS($Q39,5)),"")</f>
        <v/>
      </c>
      <c r="W39" s="44" t="str" cm="1">
        <f t="array" aca="1" ref="W39" ca="1">IF($S39&lt;&gt;"",INDIRECT(ADDRESS($Q39,6)),"")</f>
        <v/>
      </c>
      <c r="X39" s="44" t="str" cm="1">
        <f t="array" aca="1" ref="X39" ca="1">IF($S39&lt;&gt;"",INDIRECT(ADDRESS($Q39,8)),"")</f>
        <v/>
      </c>
      <c r="Y39" s="44" t="str" cm="1">
        <f t="array" aca="1" ref="Y39" ca="1">IF($S39&lt;&gt;"",INDIRECT(ADDRESS($Q39,9)),"")</f>
        <v/>
      </c>
      <c r="Z39" s="44" t="str" cm="1">
        <f t="array" aca="1" ref="Z39" ca="1">IF($S39&lt;&gt;"",INDIRECT(ADDRESS($Q39,10)),"")</f>
        <v/>
      </c>
      <c r="AA39" s="44" t="str" cm="1">
        <f t="array" aca="1" ref="AA39" ca="1">IF($S39&lt;&gt;"",INDIRECT(ADDRESS($Q39+1,10)),"")</f>
        <v/>
      </c>
      <c r="AB39" s="44" t="str" cm="1">
        <f t="array" aca="1" ref="AB39" ca="1">IF($S39&lt;&gt;"",INDIRECT(ADDRESS($Q39+2,10)),"")</f>
        <v/>
      </c>
    </row>
    <row r="40" spans="1:28" ht="24" customHeight="1" x14ac:dyDescent="0.4">
      <c r="J40" s="48" t="s">
        <v>140</v>
      </c>
      <c r="K40" s="535" t="str">
        <f>IF(団体登録!$B$9&lt;&gt;"",団体登録!$B$9&amp;" "&amp;団体登録!$B$10,"")</f>
        <v/>
      </c>
      <c r="L40" s="535"/>
      <c r="P40" s="44">
        <v>36</v>
      </c>
      <c r="Q40" s="44">
        <f t="shared" si="1"/>
        <v>139</v>
      </c>
      <c r="R40" s="44" cm="1">
        <f t="array" aca="1" ref="R40" ca="1">INDIRECT(ADDRESS($Q40,1))</f>
        <v>0</v>
      </c>
      <c r="S40" s="44" t="str" cm="1">
        <f t="array" aca="1" ref="S40" ca="1">IF(INDIRECT(ADDRESS($Q40,2))&lt;&gt;"",INDIRECT(ADDRESS($Q40,2)),"")</f>
        <v/>
      </c>
      <c r="T40" s="44" t="str" cm="1">
        <f t="array" aca="1" ref="T40" ca="1">IF($S40&lt;&gt;"",INDIRECT(ADDRESS($Q40,3)),"")</f>
        <v/>
      </c>
      <c r="U40" s="44" t="str" cm="1">
        <f t="array" aca="1" ref="U40" ca="1">IF($S40&lt;&gt;"",INDIRECT(ADDRESS($Q40,4)),"")</f>
        <v/>
      </c>
      <c r="V40" s="44" t="str" cm="1">
        <f t="array" aca="1" ref="V40" ca="1">IF($S40&lt;&gt;"",INDIRECT(ADDRESS($Q40,5)),"")</f>
        <v/>
      </c>
      <c r="W40" s="44" t="str" cm="1">
        <f t="array" aca="1" ref="W40" ca="1">IF($S40&lt;&gt;"",INDIRECT(ADDRESS($Q40,6)),"")</f>
        <v/>
      </c>
      <c r="X40" s="44" t="str" cm="1">
        <f t="array" aca="1" ref="X40" ca="1">IF($S40&lt;&gt;"",INDIRECT(ADDRESS($Q40,8)),"")</f>
        <v/>
      </c>
      <c r="Y40" s="44" t="str" cm="1">
        <f t="array" aca="1" ref="Y40" ca="1">IF($S40&lt;&gt;"",INDIRECT(ADDRESS($Q40,9)),"")</f>
        <v/>
      </c>
      <c r="Z40" s="44" t="str" cm="1">
        <f t="array" aca="1" ref="Z40" ca="1">IF($S40&lt;&gt;"",INDIRECT(ADDRESS($Q40,10)),"")</f>
        <v/>
      </c>
      <c r="AA40" s="44" t="str" cm="1">
        <f t="array" aca="1" ref="AA40" ca="1">IF($S40&lt;&gt;"",INDIRECT(ADDRESS($Q40+1,10)),"")</f>
        <v/>
      </c>
      <c r="AB40" s="44" t="str" cm="1">
        <f t="array" aca="1" ref="AB40" ca="1">IF($S40&lt;&gt;"",INDIRECT(ADDRESS($Q40+2,10)),"")</f>
        <v/>
      </c>
    </row>
    <row r="41" spans="1:28" ht="24" customHeight="1" x14ac:dyDescent="0.4">
      <c r="J41" s="48" t="s">
        <v>141</v>
      </c>
      <c r="K41" s="535" t="str">
        <f>IF(団体登録!$B$11&lt;&gt;"",団体登録!$B$11,"")</f>
        <v/>
      </c>
      <c r="L41" s="535"/>
      <c r="P41" s="44">
        <v>37</v>
      </c>
      <c r="Q41" s="44">
        <f t="shared" si="1"/>
        <v>142</v>
      </c>
      <c r="R41" s="44" cm="1">
        <f t="array" aca="1" ref="R41" ca="1">INDIRECT(ADDRESS($Q41,1))</f>
        <v>0</v>
      </c>
      <c r="S41" s="44" t="str" cm="1">
        <f t="array" aca="1" ref="S41" ca="1">IF(INDIRECT(ADDRESS($Q41,2))&lt;&gt;"",INDIRECT(ADDRESS($Q41,2)),"")</f>
        <v/>
      </c>
      <c r="T41" s="44" t="str" cm="1">
        <f t="array" aca="1" ref="T41" ca="1">IF($S41&lt;&gt;"",INDIRECT(ADDRESS($Q41,3)),"")</f>
        <v/>
      </c>
      <c r="U41" s="44" t="str" cm="1">
        <f t="array" aca="1" ref="U41" ca="1">IF($S41&lt;&gt;"",INDIRECT(ADDRESS($Q41,4)),"")</f>
        <v/>
      </c>
      <c r="V41" s="44" t="str" cm="1">
        <f t="array" aca="1" ref="V41" ca="1">IF($S41&lt;&gt;"",INDIRECT(ADDRESS($Q41,5)),"")</f>
        <v/>
      </c>
      <c r="W41" s="44" t="str" cm="1">
        <f t="array" aca="1" ref="W41" ca="1">IF($S41&lt;&gt;"",INDIRECT(ADDRESS($Q41,6)),"")</f>
        <v/>
      </c>
      <c r="X41" s="44" t="str" cm="1">
        <f t="array" aca="1" ref="X41" ca="1">IF($S41&lt;&gt;"",INDIRECT(ADDRESS($Q41,8)),"")</f>
        <v/>
      </c>
      <c r="Y41" s="44" t="str" cm="1">
        <f t="array" aca="1" ref="Y41" ca="1">IF($S41&lt;&gt;"",INDIRECT(ADDRESS($Q41,9)),"")</f>
        <v/>
      </c>
      <c r="Z41" s="44" t="str" cm="1">
        <f t="array" aca="1" ref="Z41" ca="1">IF($S41&lt;&gt;"",INDIRECT(ADDRESS($Q41,10)),"")</f>
        <v/>
      </c>
      <c r="AA41" s="44" t="str" cm="1">
        <f t="array" aca="1" ref="AA41" ca="1">IF($S41&lt;&gt;"",INDIRECT(ADDRESS($Q41+1,10)),"")</f>
        <v/>
      </c>
      <c r="AB41" s="44" t="str" cm="1">
        <f t="array" aca="1" ref="AB41" ca="1">IF($S41&lt;&gt;"",INDIRECT(ADDRESS($Q41+2,10)),"")</f>
        <v/>
      </c>
    </row>
    <row r="42" spans="1:28" ht="24.75" customHeight="1" x14ac:dyDescent="0.4">
      <c r="J42" s="48" t="s">
        <v>142</v>
      </c>
      <c r="K42" s="535"/>
      <c r="L42" s="535"/>
      <c r="P42" s="44">
        <v>38</v>
      </c>
      <c r="Q42" s="44">
        <f t="shared" si="1"/>
        <v>145</v>
      </c>
      <c r="R42" s="44" cm="1">
        <f t="array" aca="1" ref="R42" ca="1">INDIRECT(ADDRESS($Q42,1))</f>
        <v>0</v>
      </c>
      <c r="S42" s="44" t="str" cm="1">
        <f t="array" aca="1" ref="S42" ca="1">IF(INDIRECT(ADDRESS($Q42,2))&lt;&gt;"",INDIRECT(ADDRESS($Q42,2)),"")</f>
        <v/>
      </c>
      <c r="T42" s="44" t="str" cm="1">
        <f t="array" aca="1" ref="T42" ca="1">IF($S42&lt;&gt;"",INDIRECT(ADDRESS($Q42,3)),"")</f>
        <v/>
      </c>
      <c r="U42" s="44" t="str" cm="1">
        <f t="array" aca="1" ref="U42" ca="1">IF($S42&lt;&gt;"",INDIRECT(ADDRESS($Q42,4)),"")</f>
        <v/>
      </c>
      <c r="V42" s="44" t="str" cm="1">
        <f t="array" aca="1" ref="V42" ca="1">IF($S42&lt;&gt;"",INDIRECT(ADDRESS($Q42,5)),"")</f>
        <v/>
      </c>
      <c r="W42" s="44" t="str" cm="1">
        <f t="array" aca="1" ref="W42" ca="1">IF($S42&lt;&gt;"",INDIRECT(ADDRESS($Q42,6)),"")</f>
        <v/>
      </c>
      <c r="X42" s="44" t="str" cm="1">
        <f t="array" aca="1" ref="X42" ca="1">IF($S42&lt;&gt;"",INDIRECT(ADDRESS($Q42,8)),"")</f>
        <v/>
      </c>
      <c r="Y42" s="44" t="str" cm="1">
        <f t="array" aca="1" ref="Y42" ca="1">IF($S42&lt;&gt;"",INDIRECT(ADDRESS($Q42,9)),"")</f>
        <v/>
      </c>
      <c r="Z42" s="44" t="str" cm="1">
        <f t="array" aca="1" ref="Z42" ca="1">IF($S42&lt;&gt;"",INDIRECT(ADDRESS($Q42,10)),"")</f>
        <v/>
      </c>
      <c r="AA42" s="44" t="str" cm="1">
        <f t="array" aca="1" ref="AA42" ca="1">IF($S42&lt;&gt;"",INDIRECT(ADDRESS($Q42+1,10)),"")</f>
        <v/>
      </c>
      <c r="AB42" s="44" t="str" cm="1">
        <f t="array" aca="1" ref="AB42" ca="1">IF($S42&lt;&gt;"",INDIRECT(ADDRESS($Q42+2,10)),"")</f>
        <v/>
      </c>
    </row>
    <row r="43" spans="1:28" ht="27" customHeight="1" x14ac:dyDescent="0.5">
      <c r="A43" s="564" t="s">
        <v>128</v>
      </c>
      <c r="B43" s="564"/>
      <c r="C43" s="564"/>
      <c r="D43" s="564"/>
      <c r="E43" s="564"/>
      <c r="F43" s="564"/>
      <c r="G43" s="564"/>
      <c r="H43" s="564"/>
      <c r="I43" s="564"/>
      <c r="J43" s="564"/>
      <c r="K43" s="564"/>
      <c r="L43" s="564"/>
      <c r="M43" s="565"/>
      <c r="P43" s="44">
        <v>39</v>
      </c>
      <c r="Q43" s="44">
        <f t="shared" si="1"/>
        <v>148</v>
      </c>
      <c r="R43" s="44" cm="1">
        <f t="array" aca="1" ref="R43" ca="1">INDIRECT(ADDRESS($Q43,1))</f>
        <v>0</v>
      </c>
      <c r="S43" s="44" t="str" cm="1">
        <f t="array" aca="1" ref="S43" ca="1">IF(INDIRECT(ADDRESS($Q43,2))&lt;&gt;"",INDIRECT(ADDRESS($Q43,2)),"")</f>
        <v/>
      </c>
      <c r="T43" s="44" t="str" cm="1">
        <f t="array" aca="1" ref="T43" ca="1">IF($S43&lt;&gt;"",INDIRECT(ADDRESS($Q43,3)),"")</f>
        <v/>
      </c>
      <c r="U43" s="44" t="str" cm="1">
        <f t="array" aca="1" ref="U43" ca="1">IF($S43&lt;&gt;"",INDIRECT(ADDRESS($Q43,4)),"")</f>
        <v/>
      </c>
      <c r="V43" s="44" t="str" cm="1">
        <f t="array" aca="1" ref="V43" ca="1">IF($S43&lt;&gt;"",INDIRECT(ADDRESS($Q43,5)),"")</f>
        <v/>
      </c>
      <c r="W43" s="44" t="str" cm="1">
        <f t="array" aca="1" ref="W43" ca="1">IF($S43&lt;&gt;"",INDIRECT(ADDRESS($Q43,6)),"")</f>
        <v/>
      </c>
      <c r="X43" s="44" t="str" cm="1">
        <f t="array" aca="1" ref="X43" ca="1">IF($S43&lt;&gt;"",INDIRECT(ADDRESS($Q43,8)),"")</f>
        <v/>
      </c>
      <c r="Y43" s="44" t="str" cm="1">
        <f t="array" aca="1" ref="Y43" ca="1">IF($S43&lt;&gt;"",INDIRECT(ADDRESS($Q43,9)),"")</f>
        <v/>
      </c>
      <c r="Z43" s="44" t="str" cm="1">
        <f t="array" aca="1" ref="Z43" ca="1">IF($S43&lt;&gt;"",INDIRECT(ADDRESS($Q43,10)),"")</f>
        <v/>
      </c>
      <c r="AA43" s="44" t="str" cm="1">
        <f t="array" aca="1" ref="AA43" ca="1">IF($S43&lt;&gt;"",INDIRECT(ADDRESS($Q43+1,10)),"")</f>
        <v/>
      </c>
      <c r="AB43" s="44" t="str" cm="1">
        <f t="array" aca="1" ref="AB43" ca="1">IF($S43&lt;&gt;"",INDIRECT(ADDRESS($Q43+2,10)),"")</f>
        <v/>
      </c>
    </row>
    <row r="44" spans="1:28" ht="37.5" customHeight="1" x14ac:dyDescent="0.4">
      <c r="A44" s="44"/>
      <c r="B44" s="27" t="s">
        <v>34</v>
      </c>
      <c r="C44" s="27" t="s">
        <v>55</v>
      </c>
      <c r="D44" s="27" t="s">
        <v>129</v>
      </c>
      <c r="E44" s="27" t="s">
        <v>130</v>
      </c>
      <c r="F44" s="566" t="s">
        <v>131</v>
      </c>
      <c r="G44" s="567"/>
      <c r="H44" s="45" t="s">
        <v>132</v>
      </c>
      <c r="I44" s="45" t="s">
        <v>133</v>
      </c>
      <c r="J44" s="566" t="s">
        <v>134</v>
      </c>
      <c r="K44" s="568"/>
      <c r="L44" s="568"/>
      <c r="M44" s="567"/>
      <c r="P44" s="44">
        <v>40</v>
      </c>
      <c r="Q44" s="44">
        <f t="shared" si="1"/>
        <v>151</v>
      </c>
      <c r="R44" s="44" cm="1">
        <f t="array" aca="1" ref="R44" ca="1">INDIRECT(ADDRESS($Q44,1))</f>
        <v>0</v>
      </c>
      <c r="S44" s="44" t="str" cm="1">
        <f t="array" aca="1" ref="S44" ca="1">IF(INDIRECT(ADDRESS($Q44,2))&lt;&gt;"",INDIRECT(ADDRESS($Q44,2)),"")</f>
        <v/>
      </c>
      <c r="T44" s="44" t="str" cm="1">
        <f t="array" aca="1" ref="T44" ca="1">IF($S44&lt;&gt;"",INDIRECT(ADDRESS($Q44,3)),"")</f>
        <v/>
      </c>
      <c r="U44" s="44" t="str" cm="1">
        <f t="array" aca="1" ref="U44" ca="1">IF($S44&lt;&gt;"",INDIRECT(ADDRESS($Q44,4)),"")</f>
        <v/>
      </c>
      <c r="V44" s="44" t="str" cm="1">
        <f t="array" aca="1" ref="V44" ca="1">IF($S44&lt;&gt;"",INDIRECT(ADDRESS($Q44,5)),"")</f>
        <v/>
      </c>
      <c r="W44" s="44" t="str" cm="1">
        <f t="array" aca="1" ref="W44" ca="1">IF($S44&lt;&gt;"",INDIRECT(ADDRESS($Q44,6)),"")</f>
        <v/>
      </c>
      <c r="X44" s="44" t="str" cm="1">
        <f t="array" aca="1" ref="X44" ca="1">IF($S44&lt;&gt;"",INDIRECT(ADDRESS($Q44,8)),"")</f>
        <v/>
      </c>
      <c r="Y44" s="44" t="str" cm="1">
        <f t="array" aca="1" ref="Y44" ca="1">IF($S44&lt;&gt;"",INDIRECT(ADDRESS($Q44,9)),"")</f>
        <v/>
      </c>
      <c r="Z44" s="44" t="str" cm="1">
        <f t="array" aca="1" ref="Z44" ca="1">IF($S44&lt;&gt;"",INDIRECT(ADDRESS($Q44,10)),"")</f>
        <v/>
      </c>
      <c r="AA44" s="44" t="str" cm="1">
        <f t="array" aca="1" ref="AA44" ca="1">IF($S44&lt;&gt;"",INDIRECT(ADDRESS($Q44+1,10)),"")</f>
        <v/>
      </c>
      <c r="AB44" s="44" t="str" cm="1">
        <f t="array" aca="1" ref="AB44" ca="1">IF($S44&lt;&gt;"",INDIRECT(ADDRESS($Q44+2,10)),"")</f>
        <v/>
      </c>
    </row>
    <row r="45" spans="1:28" ht="15" customHeight="1" x14ac:dyDescent="0.4">
      <c r="A45" s="536">
        <v>11</v>
      </c>
      <c r="B45" s="539" t="str">
        <f ca="1">IF(OFFSET(馬匹登録!$AC$7,A45,0)&lt;&gt;"",OFFSET(馬匹登録!$AC$7,A45,0),"")</f>
        <v/>
      </c>
      <c r="C45" s="542"/>
      <c r="D45" s="545"/>
      <c r="E45" s="545"/>
      <c r="F45" s="546"/>
      <c r="G45" s="547"/>
      <c r="H45" s="552"/>
      <c r="I45" s="552"/>
      <c r="J45" s="555"/>
      <c r="K45" s="556"/>
      <c r="L45" s="556"/>
      <c r="M45" s="557"/>
      <c r="P45" s="44">
        <v>41</v>
      </c>
      <c r="Q45" s="44">
        <f t="shared" si="1"/>
        <v>164</v>
      </c>
      <c r="R45" s="44" cm="1">
        <f t="array" aca="1" ref="R45" ca="1">INDIRECT(ADDRESS($Q45,1))</f>
        <v>0</v>
      </c>
      <c r="S45" s="44" t="str" cm="1">
        <f t="array" aca="1" ref="S45" ca="1">IF(INDIRECT(ADDRESS($Q45,2))&lt;&gt;"",INDIRECT(ADDRESS($Q45,2)),"")</f>
        <v>馬名</v>
      </c>
      <c r="T45" s="44" t="str" cm="1">
        <f t="array" aca="1" ref="T45" ca="1">IF($S45&lt;&gt;"",INDIRECT(ADDRESS($Q45,3)),"")</f>
        <v>性別</v>
      </c>
      <c r="U45" s="44" t="str" cm="1">
        <f t="array" aca="1" ref="U45" ca="1">IF($S45&lt;&gt;"",INDIRECT(ADDRESS($Q45,4)),"")</f>
        <v>毛色</v>
      </c>
      <c r="V45" s="44" t="str" cm="1">
        <f t="array" aca="1" ref="V45" ca="1">IF($S45&lt;&gt;"",INDIRECT(ADDRESS($Q45,5)),"")</f>
        <v>種類</v>
      </c>
      <c r="W45" s="44" t="str" cm="1">
        <f t="array" aca="1" ref="W45" ca="1">IF($S45&lt;&gt;"",INDIRECT(ADDRESS($Q45,6)),"")</f>
        <v>産地</v>
      </c>
      <c r="X45" s="44" t="str" cm="1">
        <f t="array" aca="1" ref="X45" ca="1">IF($S45&lt;&gt;"",INDIRECT(ADDRESS($Q45,8)),"")</f>
        <v>最終伝貧
検査日</v>
      </c>
      <c r="Y45" s="44" t="str" cm="1">
        <f t="array" aca="1" ref="Y45" ca="1">IF($S45&lt;&gt;"",INDIRECT(ADDRESS($Q45,9)),"")</f>
        <v>日本脳炎予防
ワクチン接種日</v>
      </c>
      <c r="Z45" s="44" t="str" cm="1">
        <f t="array" aca="1" ref="Z45" ca="1">IF($S45&lt;&gt;"",INDIRECT(ADDRESS($Q45,10)),"")</f>
        <v>基礎・補強終了後のすべてのインフルエンザ予防接種暦</v>
      </c>
      <c r="AA45" s="44" cm="1">
        <f t="array" aca="1" ref="AA45" ca="1">IF($S45&lt;&gt;"",INDIRECT(ADDRESS($Q45+1,10)),"")</f>
        <v>0</v>
      </c>
      <c r="AB45" s="44" cm="1">
        <f t="array" aca="1" ref="AB45" ca="1">IF($S45&lt;&gt;"",INDIRECT(ADDRESS($Q45+2,10)),"")</f>
        <v>0</v>
      </c>
    </row>
    <row r="46" spans="1:28" ht="15" customHeight="1" x14ac:dyDescent="0.4">
      <c r="A46" s="537"/>
      <c r="B46" s="540"/>
      <c r="C46" s="543"/>
      <c r="D46" s="543"/>
      <c r="E46" s="543"/>
      <c r="F46" s="548"/>
      <c r="G46" s="549"/>
      <c r="H46" s="553"/>
      <c r="I46" s="553"/>
      <c r="J46" s="558"/>
      <c r="K46" s="559"/>
      <c r="L46" s="559"/>
      <c r="M46" s="560"/>
      <c r="P46" s="44">
        <v>42</v>
      </c>
      <c r="Q46" s="44">
        <f t="shared" si="1"/>
        <v>167</v>
      </c>
      <c r="R46" s="44" cm="1">
        <f t="array" aca="1" ref="R46" ca="1">INDIRECT(ADDRESS($Q46,1))</f>
        <v>0</v>
      </c>
      <c r="S46" s="44" t="str" cm="1">
        <f t="array" aca="1" ref="S46" ca="1">IF(INDIRECT(ADDRESS($Q46,2))&lt;&gt;"",INDIRECT(ADDRESS($Q46,2)),"")</f>
        <v/>
      </c>
      <c r="T46" s="44" t="str" cm="1">
        <f t="array" aca="1" ref="T46" ca="1">IF($S46&lt;&gt;"",INDIRECT(ADDRESS($Q46,3)),"")</f>
        <v/>
      </c>
      <c r="U46" s="44" t="str" cm="1">
        <f t="array" aca="1" ref="U46" ca="1">IF($S46&lt;&gt;"",INDIRECT(ADDRESS($Q46,4)),"")</f>
        <v/>
      </c>
      <c r="V46" s="44" t="str" cm="1">
        <f t="array" aca="1" ref="V46" ca="1">IF($S46&lt;&gt;"",INDIRECT(ADDRESS($Q46,5)),"")</f>
        <v/>
      </c>
      <c r="W46" s="44" t="str" cm="1">
        <f t="array" aca="1" ref="W46" ca="1">IF($S46&lt;&gt;"",INDIRECT(ADDRESS($Q46,6)),"")</f>
        <v/>
      </c>
      <c r="X46" s="44" t="str" cm="1">
        <f t="array" aca="1" ref="X46" ca="1">IF($S46&lt;&gt;"",INDIRECT(ADDRESS($Q46,8)),"")</f>
        <v/>
      </c>
      <c r="Y46" s="44" t="str" cm="1">
        <f t="array" aca="1" ref="Y46" ca="1">IF($S46&lt;&gt;"",INDIRECT(ADDRESS($Q46,9)),"")</f>
        <v/>
      </c>
      <c r="Z46" s="44" t="str" cm="1">
        <f t="array" aca="1" ref="Z46" ca="1">IF($S46&lt;&gt;"",INDIRECT(ADDRESS($Q46,10)),"")</f>
        <v/>
      </c>
      <c r="AA46" s="44" t="str" cm="1">
        <f t="array" aca="1" ref="AA46" ca="1">IF($S46&lt;&gt;"",INDIRECT(ADDRESS($Q46+1,10)),"")</f>
        <v/>
      </c>
      <c r="AB46" s="44" t="str" cm="1">
        <f t="array" aca="1" ref="AB46" ca="1">IF($S46&lt;&gt;"",INDIRECT(ADDRESS($Q46+2,10)),"")</f>
        <v/>
      </c>
    </row>
    <row r="47" spans="1:28" ht="15" customHeight="1" x14ac:dyDescent="0.4">
      <c r="A47" s="538"/>
      <c r="B47" s="541"/>
      <c r="C47" s="544"/>
      <c r="D47" s="544"/>
      <c r="E47" s="544"/>
      <c r="F47" s="550"/>
      <c r="G47" s="551"/>
      <c r="H47" s="554"/>
      <c r="I47" s="554"/>
      <c r="J47" s="561"/>
      <c r="K47" s="562"/>
      <c r="L47" s="562"/>
      <c r="M47" s="563"/>
      <c r="P47" s="44">
        <v>43</v>
      </c>
      <c r="Q47" s="44">
        <f t="shared" si="1"/>
        <v>170</v>
      </c>
      <c r="R47" s="44" cm="1">
        <f t="array" aca="1" ref="R47" ca="1">INDIRECT(ADDRESS($Q47,1))</f>
        <v>0</v>
      </c>
      <c r="S47" s="44" t="str" cm="1">
        <f t="array" aca="1" ref="S47" ca="1">IF(INDIRECT(ADDRESS($Q47,2))&lt;&gt;"",INDIRECT(ADDRESS($Q47,2)),"")</f>
        <v/>
      </c>
      <c r="T47" s="44" t="str" cm="1">
        <f t="array" aca="1" ref="T47" ca="1">IF($S47&lt;&gt;"",INDIRECT(ADDRESS($Q47,3)),"")</f>
        <v/>
      </c>
      <c r="U47" s="44" t="str" cm="1">
        <f t="array" aca="1" ref="U47" ca="1">IF($S47&lt;&gt;"",INDIRECT(ADDRESS($Q47,4)),"")</f>
        <v/>
      </c>
      <c r="V47" s="44" t="str" cm="1">
        <f t="array" aca="1" ref="V47" ca="1">IF($S47&lt;&gt;"",INDIRECT(ADDRESS($Q47,5)),"")</f>
        <v/>
      </c>
      <c r="W47" s="44" t="str" cm="1">
        <f t="array" aca="1" ref="W47" ca="1">IF($S47&lt;&gt;"",INDIRECT(ADDRESS($Q47,6)),"")</f>
        <v/>
      </c>
      <c r="X47" s="44" t="str" cm="1">
        <f t="array" aca="1" ref="X47" ca="1">IF($S47&lt;&gt;"",INDIRECT(ADDRESS($Q47,8)),"")</f>
        <v/>
      </c>
      <c r="Y47" s="44" t="str" cm="1">
        <f t="array" aca="1" ref="Y47" ca="1">IF($S47&lt;&gt;"",INDIRECT(ADDRESS($Q47,9)),"")</f>
        <v/>
      </c>
      <c r="Z47" s="44" t="str" cm="1">
        <f t="array" aca="1" ref="Z47" ca="1">IF($S47&lt;&gt;"",INDIRECT(ADDRESS($Q47,10)),"")</f>
        <v/>
      </c>
      <c r="AA47" s="44" t="str" cm="1">
        <f t="array" aca="1" ref="AA47" ca="1">IF($S47&lt;&gt;"",INDIRECT(ADDRESS($Q47+1,10)),"")</f>
        <v/>
      </c>
      <c r="AB47" s="44" t="str" cm="1">
        <f t="array" aca="1" ref="AB47" ca="1">IF($S47&lt;&gt;"",INDIRECT(ADDRESS($Q47+2,10)),"")</f>
        <v/>
      </c>
    </row>
    <row r="48" spans="1:28" ht="15" customHeight="1" x14ac:dyDescent="0.4">
      <c r="A48" s="536">
        <v>12</v>
      </c>
      <c r="B48" s="539" t="str">
        <f ca="1">IF(OFFSET(馬匹登録!$AC$7,A48,0)&lt;&gt;"",OFFSET(馬匹登録!$AC$7,A48,0),"")</f>
        <v/>
      </c>
      <c r="C48" s="542"/>
      <c r="D48" s="545"/>
      <c r="E48" s="545"/>
      <c r="F48" s="546"/>
      <c r="G48" s="547"/>
      <c r="H48" s="552"/>
      <c r="I48" s="552"/>
      <c r="J48" s="555"/>
      <c r="K48" s="556"/>
      <c r="L48" s="556"/>
      <c r="M48" s="557"/>
      <c r="P48" s="44">
        <v>44</v>
      </c>
      <c r="Q48" s="44">
        <f t="shared" si="1"/>
        <v>173</v>
      </c>
      <c r="R48" s="44" cm="1">
        <f t="array" aca="1" ref="R48" ca="1">INDIRECT(ADDRESS($Q48,1))</f>
        <v>0</v>
      </c>
      <c r="S48" s="44" t="str" cm="1">
        <f t="array" aca="1" ref="S48" ca="1">IF(INDIRECT(ADDRESS($Q48,2))&lt;&gt;"",INDIRECT(ADDRESS($Q48,2)),"")</f>
        <v/>
      </c>
      <c r="T48" s="44" t="str" cm="1">
        <f t="array" aca="1" ref="T48" ca="1">IF($S48&lt;&gt;"",INDIRECT(ADDRESS($Q48,3)),"")</f>
        <v/>
      </c>
      <c r="U48" s="44" t="str" cm="1">
        <f t="array" aca="1" ref="U48" ca="1">IF($S48&lt;&gt;"",INDIRECT(ADDRESS($Q48,4)),"")</f>
        <v/>
      </c>
      <c r="V48" s="44" t="str" cm="1">
        <f t="array" aca="1" ref="V48" ca="1">IF($S48&lt;&gt;"",INDIRECT(ADDRESS($Q48,5)),"")</f>
        <v/>
      </c>
      <c r="W48" s="44" t="str" cm="1">
        <f t="array" aca="1" ref="W48" ca="1">IF($S48&lt;&gt;"",INDIRECT(ADDRESS($Q48,6)),"")</f>
        <v/>
      </c>
      <c r="X48" s="44" t="str" cm="1">
        <f t="array" aca="1" ref="X48" ca="1">IF($S48&lt;&gt;"",INDIRECT(ADDRESS($Q48,8)),"")</f>
        <v/>
      </c>
      <c r="Y48" s="44" t="str" cm="1">
        <f t="array" aca="1" ref="Y48" ca="1">IF($S48&lt;&gt;"",INDIRECT(ADDRESS($Q48,9)),"")</f>
        <v/>
      </c>
      <c r="Z48" s="44" t="str" cm="1">
        <f t="array" aca="1" ref="Z48" ca="1">IF($S48&lt;&gt;"",INDIRECT(ADDRESS($Q48,10)),"")</f>
        <v/>
      </c>
      <c r="AA48" s="44" t="str" cm="1">
        <f t="array" aca="1" ref="AA48" ca="1">IF($S48&lt;&gt;"",INDIRECT(ADDRESS($Q48+1,10)),"")</f>
        <v/>
      </c>
      <c r="AB48" s="44" t="str" cm="1">
        <f t="array" aca="1" ref="AB48" ca="1">IF($S48&lt;&gt;"",INDIRECT(ADDRESS($Q48+2,10)),"")</f>
        <v/>
      </c>
    </row>
    <row r="49" spans="1:28" ht="15" customHeight="1" x14ac:dyDescent="0.4">
      <c r="A49" s="537"/>
      <c r="B49" s="540"/>
      <c r="C49" s="543"/>
      <c r="D49" s="543"/>
      <c r="E49" s="543"/>
      <c r="F49" s="548"/>
      <c r="G49" s="549"/>
      <c r="H49" s="553"/>
      <c r="I49" s="553"/>
      <c r="J49" s="558"/>
      <c r="K49" s="559"/>
      <c r="L49" s="559"/>
      <c r="M49" s="560"/>
      <c r="P49" s="44">
        <v>45</v>
      </c>
      <c r="Q49" s="44">
        <f t="shared" si="1"/>
        <v>176</v>
      </c>
      <c r="R49" s="44" cm="1">
        <f t="array" aca="1" ref="R49" ca="1">INDIRECT(ADDRESS($Q49,1))</f>
        <v>0</v>
      </c>
      <c r="S49" s="44" t="str" cm="1">
        <f t="array" aca="1" ref="S49" ca="1">IF(INDIRECT(ADDRESS($Q49,2))&lt;&gt;"",INDIRECT(ADDRESS($Q49,2)),"")</f>
        <v/>
      </c>
      <c r="T49" s="44" t="str" cm="1">
        <f t="array" aca="1" ref="T49" ca="1">IF($S49&lt;&gt;"",INDIRECT(ADDRESS($Q49,3)),"")</f>
        <v/>
      </c>
      <c r="U49" s="44" t="str" cm="1">
        <f t="array" aca="1" ref="U49" ca="1">IF($S49&lt;&gt;"",INDIRECT(ADDRESS($Q49,4)),"")</f>
        <v/>
      </c>
      <c r="V49" s="44" t="str" cm="1">
        <f t="array" aca="1" ref="V49" ca="1">IF($S49&lt;&gt;"",INDIRECT(ADDRESS($Q49,5)),"")</f>
        <v/>
      </c>
      <c r="W49" s="44" t="str" cm="1">
        <f t="array" aca="1" ref="W49" ca="1">IF($S49&lt;&gt;"",INDIRECT(ADDRESS($Q49,6)),"")</f>
        <v/>
      </c>
      <c r="X49" s="44" t="str" cm="1">
        <f t="array" aca="1" ref="X49" ca="1">IF($S49&lt;&gt;"",INDIRECT(ADDRESS($Q49,8)),"")</f>
        <v/>
      </c>
      <c r="Y49" s="44" t="str" cm="1">
        <f t="array" aca="1" ref="Y49" ca="1">IF($S49&lt;&gt;"",INDIRECT(ADDRESS($Q49,9)),"")</f>
        <v/>
      </c>
      <c r="Z49" s="44" t="str" cm="1">
        <f t="array" aca="1" ref="Z49" ca="1">IF($S49&lt;&gt;"",INDIRECT(ADDRESS($Q49,10)),"")</f>
        <v/>
      </c>
      <c r="AA49" s="44" t="str" cm="1">
        <f t="array" aca="1" ref="AA49" ca="1">IF($S49&lt;&gt;"",INDIRECT(ADDRESS($Q49+1,10)),"")</f>
        <v/>
      </c>
      <c r="AB49" s="44" t="str" cm="1">
        <f t="array" aca="1" ref="AB49" ca="1">IF($S49&lt;&gt;"",INDIRECT(ADDRESS($Q49+2,10)),"")</f>
        <v/>
      </c>
    </row>
    <row r="50" spans="1:28" ht="15" customHeight="1" x14ac:dyDescent="0.4">
      <c r="A50" s="538"/>
      <c r="B50" s="541"/>
      <c r="C50" s="544"/>
      <c r="D50" s="544"/>
      <c r="E50" s="544"/>
      <c r="F50" s="550"/>
      <c r="G50" s="551"/>
      <c r="H50" s="554"/>
      <c r="I50" s="554"/>
      <c r="J50" s="561"/>
      <c r="K50" s="562"/>
      <c r="L50" s="562"/>
      <c r="M50" s="563"/>
      <c r="P50" s="44">
        <v>46</v>
      </c>
      <c r="Q50" s="44">
        <f t="shared" si="1"/>
        <v>179</v>
      </c>
      <c r="R50" s="44" cm="1">
        <f t="array" aca="1" ref="R50" ca="1">INDIRECT(ADDRESS($Q50,1))</f>
        <v>0</v>
      </c>
      <c r="S50" s="44" t="str" cm="1">
        <f t="array" aca="1" ref="S50" ca="1">IF(INDIRECT(ADDRESS($Q50,2))&lt;&gt;"",INDIRECT(ADDRESS($Q50,2)),"")</f>
        <v/>
      </c>
      <c r="T50" s="44" t="str" cm="1">
        <f t="array" aca="1" ref="T50" ca="1">IF($S50&lt;&gt;"",INDIRECT(ADDRESS($Q50,3)),"")</f>
        <v/>
      </c>
      <c r="U50" s="44" t="str" cm="1">
        <f t="array" aca="1" ref="U50" ca="1">IF($S50&lt;&gt;"",INDIRECT(ADDRESS($Q50,4)),"")</f>
        <v/>
      </c>
      <c r="V50" s="44" t="str" cm="1">
        <f t="array" aca="1" ref="V50" ca="1">IF($S50&lt;&gt;"",INDIRECT(ADDRESS($Q50,5)),"")</f>
        <v/>
      </c>
      <c r="W50" s="44" t="str" cm="1">
        <f t="array" aca="1" ref="W50" ca="1">IF($S50&lt;&gt;"",INDIRECT(ADDRESS($Q50,6)),"")</f>
        <v/>
      </c>
      <c r="X50" s="44" t="str" cm="1">
        <f t="array" aca="1" ref="X50" ca="1">IF($S50&lt;&gt;"",INDIRECT(ADDRESS($Q50,8)),"")</f>
        <v/>
      </c>
      <c r="Y50" s="44" t="str" cm="1">
        <f t="array" aca="1" ref="Y50" ca="1">IF($S50&lt;&gt;"",INDIRECT(ADDRESS($Q50,9)),"")</f>
        <v/>
      </c>
      <c r="Z50" s="44" t="str" cm="1">
        <f t="array" aca="1" ref="Z50" ca="1">IF($S50&lt;&gt;"",INDIRECT(ADDRESS($Q50,10)),"")</f>
        <v/>
      </c>
      <c r="AA50" s="44" t="str" cm="1">
        <f t="array" aca="1" ref="AA50" ca="1">IF($S50&lt;&gt;"",INDIRECT(ADDRESS($Q50+1,10)),"")</f>
        <v/>
      </c>
      <c r="AB50" s="44" t="str" cm="1">
        <f t="array" aca="1" ref="AB50" ca="1">IF($S50&lt;&gt;"",INDIRECT(ADDRESS($Q50+2,10)),"")</f>
        <v/>
      </c>
    </row>
    <row r="51" spans="1:28" ht="15" customHeight="1" x14ac:dyDescent="0.4">
      <c r="A51" s="536">
        <v>13</v>
      </c>
      <c r="B51" s="539" t="str">
        <f ca="1">IF(OFFSET(馬匹登録!$AC$7,A51,0)&lt;&gt;"",OFFSET(馬匹登録!$AC$7,A51,0),"")</f>
        <v/>
      </c>
      <c r="C51" s="542"/>
      <c r="D51" s="545"/>
      <c r="E51" s="545"/>
      <c r="F51" s="546"/>
      <c r="G51" s="547"/>
      <c r="H51" s="552"/>
      <c r="I51" s="552"/>
      <c r="J51" s="555"/>
      <c r="K51" s="556"/>
      <c r="L51" s="556"/>
      <c r="M51" s="557"/>
      <c r="P51" s="44">
        <v>47</v>
      </c>
      <c r="Q51" s="44">
        <f t="shared" si="1"/>
        <v>182</v>
      </c>
      <c r="R51" s="44" cm="1">
        <f t="array" aca="1" ref="R51" ca="1">INDIRECT(ADDRESS($Q51,1))</f>
        <v>0</v>
      </c>
      <c r="S51" s="44" t="str" cm="1">
        <f t="array" aca="1" ref="S51" ca="1">IF(INDIRECT(ADDRESS($Q51,2))&lt;&gt;"",INDIRECT(ADDRESS($Q51,2)),"")</f>
        <v/>
      </c>
      <c r="T51" s="44" t="str" cm="1">
        <f t="array" aca="1" ref="T51" ca="1">IF($S51&lt;&gt;"",INDIRECT(ADDRESS($Q51,3)),"")</f>
        <v/>
      </c>
      <c r="U51" s="44" t="str" cm="1">
        <f t="array" aca="1" ref="U51" ca="1">IF($S51&lt;&gt;"",INDIRECT(ADDRESS($Q51,4)),"")</f>
        <v/>
      </c>
      <c r="V51" s="44" t="str" cm="1">
        <f t="array" aca="1" ref="V51" ca="1">IF($S51&lt;&gt;"",INDIRECT(ADDRESS($Q51,5)),"")</f>
        <v/>
      </c>
      <c r="W51" s="44" t="str" cm="1">
        <f t="array" aca="1" ref="W51" ca="1">IF($S51&lt;&gt;"",INDIRECT(ADDRESS($Q51,6)),"")</f>
        <v/>
      </c>
      <c r="X51" s="44" t="str" cm="1">
        <f t="array" aca="1" ref="X51" ca="1">IF($S51&lt;&gt;"",INDIRECT(ADDRESS($Q51,8)),"")</f>
        <v/>
      </c>
      <c r="Y51" s="44" t="str" cm="1">
        <f t="array" aca="1" ref="Y51" ca="1">IF($S51&lt;&gt;"",INDIRECT(ADDRESS($Q51,9)),"")</f>
        <v/>
      </c>
      <c r="Z51" s="44" t="str" cm="1">
        <f t="array" aca="1" ref="Z51" ca="1">IF($S51&lt;&gt;"",INDIRECT(ADDRESS($Q51,10)),"")</f>
        <v/>
      </c>
      <c r="AA51" s="44" t="str" cm="1">
        <f t="array" aca="1" ref="AA51" ca="1">IF($S51&lt;&gt;"",INDIRECT(ADDRESS($Q51+1,10)),"")</f>
        <v/>
      </c>
      <c r="AB51" s="44" t="str" cm="1">
        <f t="array" aca="1" ref="AB51" ca="1">IF($S51&lt;&gt;"",INDIRECT(ADDRESS($Q51+2,10)),"")</f>
        <v/>
      </c>
    </row>
    <row r="52" spans="1:28" ht="15" customHeight="1" x14ac:dyDescent="0.4">
      <c r="A52" s="537"/>
      <c r="B52" s="540"/>
      <c r="C52" s="543"/>
      <c r="D52" s="543"/>
      <c r="E52" s="543"/>
      <c r="F52" s="548"/>
      <c r="G52" s="549"/>
      <c r="H52" s="553"/>
      <c r="I52" s="553"/>
      <c r="J52" s="558"/>
      <c r="K52" s="559"/>
      <c r="L52" s="559"/>
      <c r="M52" s="560"/>
      <c r="P52" s="44">
        <v>48</v>
      </c>
      <c r="Q52" s="44">
        <f t="shared" si="1"/>
        <v>185</v>
      </c>
      <c r="R52" s="44" cm="1">
        <f t="array" aca="1" ref="R52" ca="1">INDIRECT(ADDRESS($Q52,1))</f>
        <v>0</v>
      </c>
      <c r="S52" s="44" t="str" cm="1">
        <f t="array" aca="1" ref="S52" ca="1">IF(INDIRECT(ADDRESS($Q52,2))&lt;&gt;"",INDIRECT(ADDRESS($Q52,2)),"")</f>
        <v/>
      </c>
      <c r="T52" s="44" t="str" cm="1">
        <f t="array" aca="1" ref="T52" ca="1">IF($S52&lt;&gt;"",INDIRECT(ADDRESS($Q52,3)),"")</f>
        <v/>
      </c>
      <c r="U52" s="44" t="str" cm="1">
        <f t="array" aca="1" ref="U52" ca="1">IF($S52&lt;&gt;"",INDIRECT(ADDRESS($Q52,4)),"")</f>
        <v/>
      </c>
      <c r="V52" s="44" t="str" cm="1">
        <f t="array" aca="1" ref="V52" ca="1">IF($S52&lt;&gt;"",INDIRECT(ADDRESS($Q52,5)),"")</f>
        <v/>
      </c>
      <c r="W52" s="44" t="str" cm="1">
        <f t="array" aca="1" ref="W52" ca="1">IF($S52&lt;&gt;"",INDIRECT(ADDRESS($Q52,6)),"")</f>
        <v/>
      </c>
      <c r="X52" s="44" t="str" cm="1">
        <f t="array" aca="1" ref="X52" ca="1">IF($S52&lt;&gt;"",INDIRECT(ADDRESS($Q52,8)),"")</f>
        <v/>
      </c>
      <c r="Y52" s="44" t="str" cm="1">
        <f t="array" aca="1" ref="Y52" ca="1">IF($S52&lt;&gt;"",INDIRECT(ADDRESS($Q52,9)),"")</f>
        <v/>
      </c>
      <c r="Z52" s="44" t="str" cm="1">
        <f t="array" aca="1" ref="Z52" ca="1">IF($S52&lt;&gt;"",INDIRECT(ADDRESS($Q52,10)),"")</f>
        <v/>
      </c>
      <c r="AA52" s="44" t="str" cm="1">
        <f t="array" aca="1" ref="AA52" ca="1">IF($S52&lt;&gt;"",INDIRECT(ADDRESS($Q52+1,10)),"")</f>
        <v/>
      </c>
      <c r="AB52" s="44" t="str" cm="1">
        <f t="array" aca="1" ref="AB52" ca="1">IF($S52&lt;&gt;"",INDIRECT(ADDRESS($Q52+2,10)),"")</f>
        <v/>
      </c>
    </row>
    <row r="53" spans="1:28" ht="15" customHeight="1" x14ac:dyDescent="0.4">
      <c r="A53" s="538"/>
      <c r="B53" s="541"/>
      <c r="C53" s="544"/>
      <c r="D53" s="544"/>
      <c r="E53" s="544"/>
      <c r="F53" s="550"/>
      <c r="G53" s="551"/>
      <c r="H53" s="554"/>
      <c r="I53" s="554"/>
      <c r="J53" s="561"/>
      <c r="K53" s="562"/>
      <c r="L53" s="562"/>
      <c r="M53" s="563"/>
      <c r="P53" s="44">
        <v>49</v>
      </c>
      <c r="Q53" s="44">
        <f t="shared" si="1"/>
        <v>188</v>
      </c>
      <c r="R53" s="44" cm="1">
        <f t="array" aca="1" ref="R53" ca="1">INDIRECT(ADDRESS($Q53,1))</f>
        <v>0</v>
      </c>
      <c r="S53" s="44" t="str" cm="1">
        <f t="array" aca="1" ref="S53" ca="1">IF(INDIRECT(ADDRESS($Q53,2))&lt;&gt;"",INDIRECT(ADDRESS($Q53,2)),"")</f>
        <v/>
      </c>
      <c r="T53" s="44" t="str" cm="1">
        <f t="array" aca="1" ref="T53" ca="1">IF($S53&lt;&gt;"",INDIRECT(ADDRESS($Q53,3)),"")</f>
        <v/>
      </c>
      <c r="U53" s="44" t="str" cm="1">
        <f t="array" aca="1" ref="U53" ca="1">IF($S53&lt;&gt;"",INDIRECT(ADDRESS($Q53,4)),"")</f>
        <v/>
      </c>
      <c r="V53" s="44" t="str" cm="1">
        <f t="array" aca="1" ref="V53" ca="1">IF($S53&lt;&gt;"",INDIRECT(ADDRESS($Q53,5)),"")</f>
        <v/>
      </c>
      <c r="W53" s="44" t="str" cm="1">
        <f t="array" aca="1" ref="W53" ca="1">IF($S53&lt;&gt;"",INDIRECT(ADDRESS($Q53,6)),"")</f>
        <v/>
      </c>
      <c r="X53" s="44" t="str" cm="1">
        <f t="array" aca="1" ref="X53" ca="1">IF($S53&lt;&gt;"",INDIRECT(ADDRESS($Q53,8)),"")</f>
        <v/>
      </c>
      <c r="Y53" s="44" t="str" cm="1">
        <f t="array" aca="1" ref="Y53" ca="1">IF($S53&lt;&gt;"",INDIRECT(ADDRESS($Q53,9)),"")</f>
        <v/>
      </c>
      <c r="Z53" s="44" t="str" cm="1">
        <f t="array" aca="1" ref="Z53" ca="1">IF($S53&lt;&gt;"",INDIRECT(ADDRESS($Q53,10)),"")</f>
        <v/>
      </c>
      <c r="AA53" s="44" t="str" cm="1">
        <f t="array" aca="1" ref="AA53" ca="1">IF($S53&lt;&gt;"",INDIRECT(ADDRESS($Q53+1,10)),"")</f>
        <v/>
      </c>
      <c r="AB53" s="44" t="str" cm="1">
        <f t="array" aca="1" ref="AB53" ca="1">IF($S53&lt;&gt;"",INDIRECT(ADDRESS($Q53+2,10)),"")</f>
        <v/>
      </c>
    </row>
    <row r="54" spans="1:28" ht="15" customHeight="1" x14ac:dyDescent="0.4">
      <c r="A54" s="536">
        <v>14</v>
      </c>
      <c r="B54" s="539" t="str">
        <f ca="1">IF(OFFSET(馬匹登録!$AC$7,A54,0)&lt;&gt;"",OFFSET(馬匹登録!$AC$7,A54,0),"")</f>
        <v/>
      </c>
      <c r="C54" s="542"/>
      <c r="D54" s="545"/>
      <c r="E54" s="545"/>
      <c r="F54" s="546"/>
      <c r="G54" s="547"/>
      <c r="H54" s="552"/>
      <c r="I54" s="552"/>
      <c r="J54" s="555"/>
      <c r="K54" s="556"/>
      <c r="L54" s="556"/>
      <c r="M54" s="557"/>
      <c r="P54" s="44">
        <v>50</v>
      </c>
      <c r="Q54" s="44">
        <f t="shared" si="1"/>
        <v>191</v>
      </c>
      <c r="R54" s="44" cm="1">
        <f t="array" aca="1" ref="R54" ca="1">INDIRECT(ADDRESS($Q54,1))</f>
        <v>0</v>
      </c>
      <c r="S54" s="44" t="str" cm="1">
        <f t="array" aca="1" ref="S54" ca="1">IF(INDIRECT(ADDRESS($Q54,2))&lt;&gt;"",INDIRECT(ADDRESS($Q54,2)),"")</f>
        <v/>
      </c>
      <c r="T54" s="44" t="str" cm="1">
        <f t="array" aca="1" ref="T54" ca="1">IF($S54&lt;&gt;"",INDIRECT(ADDRESS($Q54,3)),"")</f>
        <v/>
      </c>
      <c r="U54" s="44" t="str" cm="1">
        <f t="array" aca="1" ref="U54" ca="1">IF($S54&lt;&gt;"",INDIRECT(ADDRESS($Q54,4)),"")</f>
        <v/>
      </c>
      <c r="V54" s="44" t="str" cm="1">
        <f t="array" aca="1" ref="V54" ca="1">IF($S54&lt;&gt;"",INDIRECT(ADDRESS($Q54,5)),"")</f>
        <v/>
      </c>
      <c r="W54" s="44" t="str" cm="1">
        <f t="array" aca="1" ref="W54" ca="1">IF($S54&lt;&gt;"",INDIRECT(ADDRESS($Q54,6)),"")</f>
        <v/>
      </c>
      <c r="X54" s="44" t="str" cm="1">
        <f t="array" aca="1" ref="X54" ca="1">IF($S54&lt;&gt;"",INDIRECT(ADDRESS($Q54,8)),"")</f>
        <v/>
      </c>
      <c r="Y54" s="44" t="str" cm="1">
        <f t="array" aca="1" ref="Y54" ca="1">IF($S54&lt;&gt;"",INDIRECT(ADDRESS($Q54,9)),"")</f>
        <v/>
      </c>
      <c r="Z54" s="44" t="str" cm="1">
        <f t="array" aca="1" ref="Z54" ca="1">IF($S54&lt;&gt;"",INDIRECT(ADDRESS($Q54,10)),"")</f>
        <v/>
      </c>
      <c r="AA54" s="44" t="str" cm="1">
        <f t="array" aca="1" ref="AA54" ca="1">IF($S54&lt;&gt;"",INDIRECT(ADDRESS($Q54+1,10)),"")</f>
        <v/>
      </c>
      <c r="AB54" s="44" t="str" cm="1">
        <f t="array" aca="1" ref="AB54" ca="1">IF($S54&lt;&gt;"",INDIRECT(ADDRESS($Q54+2,10)),"")</f>
        <v/>
      </c>
    </row>
    <row r="55" spans="1:28" ht="15" customHeight="1" x14ac:dyDescent="0.4">
      <c r="A55" s="537"/>
      <c r="B55" s="540"/>
      <c r="C55" s="543"/>
      <c r="D55" s="543"/>
      <c r="E55" s="543"/>
      <c r="F55" s="548"/>
      <c r="G55" s="549"/>
      <c r="H55" s="553"/>
      <c r="I55" s="553"/>
      <c r="J55" s="558"/>
      <c r="K55" s="559"/>
      <c r="L55" s="559"/>
      <c r="M55" s="560"/>
    </row>
    <row r="56" spans="1:28" ht="15" customHeight="1" x14ac:dyDescent="0.4">
      <c r="A56" s="538"/>
      <c r="B56" s="541"/>
      <c r="C56" s="544"/>
      <c r="D56" s="544"/>
      <c r="E56" s="544"/>
      <c r="F56" s="550"/>
      <c r="G56" s="551"/>
      <c r="H56" s="554"/>
      <c r="I56" s="554"/>
      <c r="J56" s="561"/>
      <c r="K56" s="562"/>
      <c r="L56" s="562"/>
      <c r="M56" s="563"/>
    </row>
    <row r="57" spans="1:28" ht="15" customHeight="1" x14ac:dyDescent="0.4">
      <c r="A57" s="536">
        <v>15</v>
      </c>
      <c r="B57" s="539" t="str">
        <f ca="1">IF(OFFSET(馬匹登録!$AC$7,A57,0)&lt;&gt;"",OFFSET(馬匹登録!$AC$7,A57,0),"")</f>
        <v/>
      </c>
      <c r="C57" s="542"/>
      <c r="D57" s="545"/>
      <c r="E57" s="545"/>
      <c r="F57" s="546"/>
      <c r="G57" s="547"/>
      <c r="H57" s="552"/>
      <c r="I57" s="552"/>
      <c r="J57" s="555"/>
      <c r="K57" s="556"/>
      <c r="L57" s="556"/>
      <c r="M57" s="557"/>
    </row>
    <row r="58" spans="1:28" ht="15" customHeight="1" x14ac:dyDescent="0.4">
      <c r="A58" s="537"/>
      <c r="B58" s="540"/>
      <c r="C58" s="543"/>
      <c r="D58" s="543"/>
      <c r="E58" s="543"/>
      <c r="F58" s="548"/>
      <c r="G58" s="549"/>
      <c r="H58" s="553"/>
      <c r="I58" s="553"/>
      <c r="J58" s="558"/>
      <c r="K58" s="559"/>
      <c r="L58" s="559"/>
      <c r="M58" s="560"/>
    </row>
    <row r="59" spans="1:28" ht="15" customHeight="1" x14ac:dyDescent="0.4">
      <c r="A59" s="538"/>
      <c r="B59" s="541"/>
      <c r="C59" s="544"/>
      <c r="D59" s="544"/>
      <c r="E59" s="544"/>
      <c r="F59" s="550"/>
      <c r="G59" s="551"/>
      <c r="H59" s="554"/>
      <c r="I59" s="554"/>
      <c r="J59" s="561"/>
      <c r="K59" s="562"/>
      <c r="L59" s="562"/>
      <c r="M59" s="563"/>
    </row>
    <row r="60" spans="1:28" ht="15" customHeight="1" x14ac:dyDescent="0.4">
      <c r="A60" s="536">
        <v>16</v>
      </c>
      <c r="B60" s="539" t="str">
        <f ca="1">IF(OFFSET(馬匹登録!$AC$7,A60,0)&lt;&gt;"",OFFSET(馬匹登録!$AC$7,A60,0),"")</f>
        <v/>
      </c>
      <c r="C60" s="542"/>
      <c r="D60" s="545"/>
      <c r="E60" s="545"/>
      <c r="F60" s="546"/>
      <c r="G60" s="547"/>
      <c r="H60" s="552"/>
      <c r="I60" s="552"/>
      <c r="J60" s="555"/>
      <c r="K60" s="556"/>
      <c r="L60" s="556"/>
      <c r="M60" s="557"/>
    </row>
    <row r="61" spans="1:28" ht="15" customHeight="1" x14ac:dyDescent="0.4">
      <c r="A61" s="537"/>
      <c r="B61" s="540"/>
      <c r="C61" s="543"/>
      <c r="D61" s="543"/>
      <c r="E61" s="543"/>
      <c r="F61" s="548"/>
      <c r="G61" s="549"/>
      <c r="H61" s="553"/>
      <c r="I61" s="553"/>
      <c r="J61" s="558"/>
      <c r="K61" s="559"/>
      <c r="L61" s="559"/>
      <c r="M61" s="560"/>
    </row>
    <row r="62" spans="1:28" ht="15" customHeight="1" x14ac:dyDescent="0.4">
      <c r="A62" s="538"/>
      <c r="B62" s="541"/>
      <c r="C62" s="544"/>
      <c r="D62" s="544"/>
      <c r="E62" s="544"/>
      <c r="F62" s="550"/>
      <c r="G62" s="551"/>
      <c r="H62" s="554"/>
      <c r="I62" s="554"/>
      <c r="J62" s="561"/>
      <c r="K62" s="562"/>
      <c r="L62" s="562"/>
      <c r="M62" s="563"/>
    </row>
    <row r="63" spans="1:28" ht="15" customHeight="1" x14ac:dyDescent="0.4">
      <c r="A63" s="536">
        <v>17</v>
      </c>
      <c r="B63" s="539" t="str">
        <f ca="1">IF(OFFSET(馬匹登録!$AC$7,A63,0)&lt;&gt;"",OFFSET(馬匹登録!$AC$7,A63,0),"")</f>
        <v/>
      </c>
      <c r="C63" s="542"/>
      <c r="D63" s="545"/>
      <c r="E63" s="545"/>
      <c r="F63" s="546"/>
      <c r="G63" s="547"/>
      <c r="H63" s="552"/>
      <c r="I63" s="552"/>
      <c r="J63" s="555"/>
      <c r="K63" s="556"/>
      <c r="L63" s="556"/>
      <c r="M63" s="557"/>
    </row>
    <row r="64" spans="1:28" ht="15" customHeight="1" x14ac:dyDescent="0.4">
      <c r="A64" s="537"/>
      <c r="B64" s="540"/>
      <c r="C64" s="543"/>
      <c r="D64" s="543"/>
      <c r="E64" s="543"/>
      <c r="F64" s="548"/>
      <c r="G64" s="549"/>
      <c r="H64" s="553"/>
      <c r="I64" s="553"/>
      <c r="J64" s="558"/>
      <c r="K64" s="559"/>
      <c r="L64" s="559"/>
      <c r="M64" s="560"/>
    </row>
    <row r="65" spans="1:13" ht="15" customHeight="1" x14ac:dyDescent="0.4">
      <c r="A65" s="538"/>
      <c r="B65" s="541"/>
      <c r="C65" s="544"/>
      <c r="D65" s="544"/>
      <c r="E65" s="544"/>
      <c r="F65" s="550"/>
      <c r="G65" s="551"/>
      <c r="H65" s="554"/>
      <c r="I65" s="554"/>
      <c r="J65" s="561"/>
      <c r="K65" s="562"/>
      <c r="L65" s="562"/>
      <c r="M65" s="563"/>
    </row>
    <row r="66" spans="1:13" ht="15" customHeight="1" x14ac:dyDescent="0.4">
      <c r="A66" s="536">
        <v>18</v>
      </c>
      <c r="B66" s="539" t="str">
        <f ca="1">IF(OFFSET(馬匹登録!$AC$7,A66,0)&lt;&gt;"",OFFSET(馬匹登録!$AC$7,A66,0),"")</f>
        <v/>
      </c>
      <c r="C66" s="542"/>
      <c r="D66" s="545"/>
      <c r="E66" s="545"/>
      <c r="F66" s="546"/>
      <c r="G66" s="547"/>
      <c r="H66" s="552"/>
      <c r="I66" s="552"/>
      <c r="J66" s="555"/>
      <c r="K66" s="556"/>
      <c r="L66" s="556"/>
      <c r="M66" s="557"/>
    </row>
    <row r="67" spans="1:13" ht="15" customHeight="1" x14ac:dyDescent="0.4">
      <c r="A67" s="537"/>
      <c r="B67" s="540"/>
      <c r="C67" s="543"/>
      <c r="D67" s="543"/>
      <c r="E67" s="543"/>
      <c r="F67" s="548"/>
      <c r="G67" s="549"/>
      <c r="H67" s="553"/>
      <c r="I67" s="553"/>
      <c r="J67" s="558"/>
      <c r="K67" s="559"/>
      <c r="L67" s="559"/>
      <c r="M67" s="560"/>
    </row>
    <row r="68" spans="1:13" ht="15" customHeight="1" x14ac:dyDescent="0.4">
      <c r="A68" s="538"/>
      <c r="B68" s="541"/>
      <c r="C68" s="544"/>
      <c r="D68" s="544"/>
      <c r="E68" s="544"/>
      <c r="F68" s="550"/>
      <c r="G68" s="551"/>
      <c r="H68" s="554"/>
      <c r="I68" s="554"/>
      <c r="J68" s="561"/>
      <c r="K68" s="562"/>
      <c r="L68" s="562"/>
      <c r="M68" s="563"/>
    </row>
    <row r="69" spans="1:13" ht="15" customHeight="1" x14ac:dyDescent="0.4">
      <c r="A69" s="536">
        <v>19</v>
      </c>
      <c r="B69" s="539" t="str">
        <f ca="1">IF(OFFSET(馬匹登録!$AC$7,A69,0)&lt;&gt;"",OFFSET(馬匹登録!$AC$7,A69,0),"")</f>
        <v/>
      </c>
      <c r="C69" s="542"/>
      <c r="D69" s="545"/>
      <c r="E69" s="545"/>
      <c r="F69" s="546"/>
      <c r="G69" s="547"/>
      <c r="H69" s="552"/>
      <c r="I69" s="552"/>
      <c r="J69" s="555"/>
      <c r="K69" s="556"/>
      <c r="L69" s="556"/>
      <c r="M69" s="557"/>
    </row>
    <row r="70" spans="1:13" ht="15" customHeight="1" x14ac:dyDescent="0.4">
      <c r="A70" s="537"/>
      <c r="B70" s="540"/>
      <c r="C70" s="543"/>
      <c r="D70" s="543"/>
      <c r="E70" s="543"/>
      <c r="F70" s="548"/>
      <c r="G70" s="549"/>
      <c r="H70" s="553"/>
      <c r="I70" s="553"/>
      <c r="J70" s="558"/>
      <c r="K70" s="559"/>
      <c r="L70" s="559"/>
      <c r="M70" s="560"/>
    </row>
    <row r="71" spans="1:13" ht="15" customHeight="1" x14ac:dyDescent="0.4">
      <c r="A71" s="538"/>
      <c r="B71" s="541"/>
      <c r="C71" s="544"/>
      <c r="D71" s="544"/>
      <c r="E71" s="544"/>
      <c r="F71" s="550"/>
      <c r="G71" s="551"/>
      <c r="H71" s="554"/>
      <c r="I71" s="554"/>
      <c r="J71" s="561"/>
      <c r="K71" s="562"/>
      <c r="L71" s="562"/>
      <c r="M71" s="563"/>
    </row>
    <row r="72" spans="1:13" ht="15" customHeight="1" x14ac:dyDescent="0.4">
      <c r="A72" s="536">
        <v>20</v>
      </c>
      <c r="B72" s="539" t="str">
        <f ca="1">IF(OFFSET(馬匹登録!$AC$7,A72,0)&lt;&gt;"",OFFSET(馬匹登録!$AC$7,A72,0),"")</f>
        <v/>
      </c>
      <c r="C72" s="542"/>
      <c r="D72" s="545"/>
      <c r="E72" s="545"/>
      <c r="F72" s="546"/>
      <c r="G72" s="547"/>
      <c r="H72" s="552"/>
      <c r="I72" s="552"/>
      <c r="J72" s="555"/>
      <c r="K72" s="556"/>
      <c r="L72" s="556"/>
      <c r="M72" s="557"/>
    </row>
    <row r="73" spans="1:13" ht="15" customHeight="1" x14ac:dyDescent="0.4">
      <c r="A73" s="537"/>
      <c r="B73" s="540"/>
      <c r="C73" s="543"/>
      <c r="D73" s="543"/>
      <c r="E73" s="543"/>
      <c r="F73" s="548"/>
      <c r="G73" s="549"/>
      <c r="H73" s="553"/>
      <c r="I73" s="553"/>
      <c r="J73" s="558"/>
      <c r="K73" s="559"/>
      <c r="L73" s="559"/>
      <c r="M73" s="560"/>
    </row>
    <row r="74" spans="1:13" ht="15" customHeight="1" x14ac:dyDescent="0.4">
      <c r="A74" s="538"/>
      <c r="B74" s="541"/>
      <c r="C74" s="544"/>
      <c r="D74" s="544"/>
      <c r="E74" s="544"/>
      <c r="F74" s="550"/>
      <c r="G74" s="551"/>
      <c r="H74" s="554"/>
      <c r="I74" s="554"/>
      <c r="J74" s="561"/>
      <c r="K74" s="562"/>
      <c r="L74" s="562"/>
      <c r="M74" s="563"/>
    </row>
    <row r="75" spans="1:13" ht="21" customHeight="1" x14ac:dyDescent="0.4">
      <c r="D75" s="1" t="s">
        <v>135</v>
      </c>
      <c r="E75" s="150" t="str">
        <f>$E$35</f>
        <v>2023年</v>
      </c>
      <c r="F75" s="151" t="str">
        <f>$F$35</f>
        <v>月</v>
      </c>
      <c r="G75" s="152" t="str">
        <f>$G$35</f>
        <v>日</v>
      </c>
      <c r="H75" s="153" t="s">
        <v>136</v>
      </c>
      <c r="I75" s="154" t="str">
        <f>$I$35</f>
        <v>時</v>
      </c>
    </row>
    <row r="76" spans="1:13" ht="21" customHeight="1" x14ac:dyDescent="0.4">
      <c r="D76" s="1" t="s">
        <v>138</v>
      </c>
      <c r="E76" s="150" t="str">
        <f>$E$36</f>
        <v>2023年</v>
      </c>
      <c r="F76" s="151" t="str">
        <f>$F$36</f>
        <v>月</v>
      </c>
      <c r="G76" s="152" t="str">
        <f>$G$36</f>
        <v>日</v>
      </c>
      <c r="H76" s="153" t="s">
        <v>136</v>
      </c>
      <c r="I76" s="154" t="str">
        <f>$I$36</f>
        <v>時</v>
      </c>
    </row>
    <row r="77" spans="1:13" ht="6" customHeight="1" x14ac:dyDescent="0.4"/>
    <row r="78" spans="1:13" ht="24" customHeight="1" x14ac:dyDescent="0.4">
      <c r="B78" s="49" t="s">
        <v>139</v>
      </c>
      <c r="J78" s="47" t="s">
        <v>18</v>
      </c>
      <c r="K78" s="534" t="str">
        <f>IF(団体登録!$B$7&lt;&gt;"",団体登録!$B$7,"")</f>
        <v/>
      </c>
      <c r="L78" s="534"/>
    </row>
    <row r="79" spans="1:13" ht="24" customHeight="1" x14ac:dyDescent="0.4">
      <c r="J79" s="48" t="s">
        <v>21</v>
      </c>
      <c r="K79" s="155" t="str">
        <f>IF(団体登録!$B$12&lt;&gt;"",団体登録!$B$12,"")</f>
        <v/>
      </c>
      <c r="L79" s="156" t="s">
        <v>143</v>
      </c>
    </row>
    <row r="80" spans="1:13" ht="24" customHeight="1" x14ac:dyDescent="0.4">
      <c r="J80" s="48" t="s">
        <v>140</v>
      </c>
      <c r="K80" s="535" t="str">
        <f>IF(団体登録!$B$9&lt;&gt;"",団体登録!$B$9&amp;" "&amp;団体登録!$B$10,"")</f>
        <v/>
      </c>
      <c r="L80" s="535"/>
    </row>
    <row r="81" spans="1:13" ht="24" customHeight="1" x14ac:dyDescent="0.4">
      <c r="J81" s="48" t="s">
        <v>141</v>
      </c>
      <c r="K81" s="535" t="str">
        <f>IF(団体登録!$B$11&lt;&gt;"",団体登録!$B$11,"")</f>
        <v/>
      </c>
      <c r="L81" s="535"/>
    </row>
    <row r="82" spans="1:13" ht="24" customHeight="1" x14ac:dyDescent="0.4">
      <c r="J82" s="48" t="s">
        <v>142</v>
      </c>
      <c r="K82" s="535"/>
      <c r="L82" s="535"/>
    </row>
    <row r="83" spans="1:13" ht="27" customHeight="1" x14ac:dyDescent="0.5">
      <c r="A83" s="564" t="s">
        <v>128</v>
      </c>
      <c r="B83" s="564"/>
      <c r="C83" s="564"/>
      <c r="D83" s="564"/>
      <c r="E83" s="564"/>
      <c r="F83" s="564"/>
      <c r="G83" s="564"/>
      <c r="H83" s="564"/>
      <c r="I83" s="564"/>
      <c r="J83" s="564"/>
      <c r="K83" s="564"/>
      <c r="L83" s="564"/>
      <c r="M83" s="565"/>
    </row>
    <row r="84" spans="1:13" ht="37.5" customHeight="1" x14ac:dyDescent="0.4">
      <c r="A84" s="44"/>
      <c r="B84" s="27" t="s">
        <v>34</v>
      </c>
      <c r="C84" s="27" t="s">
        <v>55</v>
      </c>
      <c r="D84" s="27" t="s">
        <v>129</v>
      </c>
      <c r="E84" s="27" t="s">
        <v>130</v>
      </c>
      <c r="F84" s="566" t="s">
        <v>131</v>
      </c>
      <c r="G84" s="567"/>
      <c r="H84" s="45" t="s">
        <v>132</v>
      </c>
      <c r="I84" s="45" t="s">
        <v>133</v>
      </c>
      <c r="J84" s="566" t="s">
        <v>134</v>
      </c>
      <c r="K84" s="568"/>
      <c r="L84" s="568"/>
      <c r="M84" s="567"/>
    </row>
    <row r="85" spans="1:13" ht="15" customHeight="1" x14ac:dyDescent="0.4">
      <c r="A85" s="536">
        <v>21</v>
      </c>
      <c r="B85" s="539" t="str">
        <f ca="1">IF(OFFSET(馬匹登録!$AC$7,A85,0)&lt;&gt;"",OFFSET(馬匹登録!$AC$7,A85,0),"")</f>
        <v/>
      </c>
      <c r="C85" s="542"/>
      <c r="D85" s="545"/>
      <c r="E85" s="545"/>
      <c r="F85" s="546"/>
      <c r="G85" s="547"/>
      <c r="H85" s="552"/>
      <c r="I85" s="552"/>
      <c r="J85" s="555"/>
      <c r="K85" s="556"/>
      <c r="L85" s="556"/>
      <c r="M85" s="557"/>
    </row>
    <row r="86" spans="1:13" ht="15" customHeight="1" x14ac:dyDescent="0.4">
      <c r="A86" s="537"/>
      <c r="B86" s="540"/>
      <c r="C86" s="543"/>
      <c r="D86" s="543"/>
      <c r="E86" s="543"/>
      <c r="F86" s="548"/>
      <c r="G86" s="549"/>
      <c r="H86" s="553"/>
      <c r="I86" s="553"/>
      <c r="J86" s="558"/>
      <c r="K86" s="559"/>
      <c r="L86" s="559"/>
      <c r="M86" s="560"/>
    </row>
    <row r="87" spans="1:13" ht="15" customHeight="1" x14ac:dyDescent="0.4">
      <c r="A87" s="538"/>
      <c r="B87" s="541"/>
      <c r="C87" s="544"/>
      <c r="D87" s="544"/>
      <c r="E87" s="544"/>
      <c r="F87" s="550"/>
      <c r="G87" s="551"/>
      <c r="H87" s="554"/>
      <c r="I87" s="554"/>
      <c r="J87" s="561"/>
      <c r="K87" s="562"/>
      <c r="L87" s="562"/>
      <c r="M87" s="563"/>
    </row>
    <row r="88" spans="1:13" ht="15" customHeight="1" x14ac:dyDescent="0.4">
      <c r="A88" s="536">
        <v>22</v>
      </c>
      <c r="B88" s="539" t="str">
        <f ca="1">IF(OFFSET(馬匹登録!$AC$7,A88,0)&lt;&gt;"",OFFSET(馬匹登録!$AC$7,A88,0),"")</f>
        <v/>
      </c>
      <c r="C88" s="542"/>
      <c r="D88" s="545"/>
      <c r="E88" s="545"/>
      <c r="F88" s="546"/>
      <c r="G88" s="547"/>
      <c r="H88" s="552"/>
      <c r="I88" s="552"/>
      <c r="J88" s="555"/>
      <c r="K88" s="556"/>
      <c r="L88" s="556"/>
      <c r="M88" s="557"/>
    </row>
    <row r="89" spans="1:13" ht="15" customHeight="1" x14ac:dyDescent="0.4">
      <c r="A89" s="537"/>
      <c r="B89" s="540"/>
      <c r="C89" s="543"/>
      <c r="D89" s="543"/>
      <c r="E89" s="543"/>
      <c r="F89" s="548"/>
      <c r="G89" s="549"/>
      <c r="H89" s="553"/>
      <c r="I89" s="553"/>
      <c r="J89" s="558"/>
      <c r="K89" s="559"/>
      <c r="L89" s="559"/>
      <c r="M89" s="560"/>
    </row>
    <row r="90" spans="1:13" ht="15" customHeight="1" x14ac:dyDescent="0.4">
      <c r="A90" s="538"/>
      <c r="B90" s="541"/>
      <c r="C90" s="544"/>
      <c r="D90" s="544"/>
      <c r="E90" s="544"/>
      <c r="F90" s="550"/>
      <c r="G90" s="551"/>
      <c r="H90" s="554"/>
      <c r="I90" s="554"/>
      <c r="J90" s="561"/>
      <c r="K90" s="562"/>
      <c r="L90" s="562"/>
      <c r="M90" s="563"/>
    </row>
    <row r="91" spans="1:13" ht="15" customHeight="1" x14ac:dyDescent="0.4">
      <c r="A91" s="536">
        <v>23</v>
      </c>
      <c r="B91" s="539" t="str">
        <f ca="1">IF(OFFSET(馬匹登録!$AC$7,A91,0)&lt;&gt;"",OFFSET(馬匹登録!$AC$7,A91,0),"")</f>
        <v/>
      </c>
      <c r="C91" s="542"/>
      <c r="D91" s="545"/>
      <c r="E91" s="545"/>
      <c r="F91" s="546"/>
      <c r="G91" s="547"/>
      <c r="H91" s="552"/>
      <c r="I91" s="552"/>
      <c r="J91" s="555"/>
      <c r="K91" s="556"/>
      <c r="L91" s="556"/>
      <c r="M91" s="557"/>
    </row>
    <row r="92" spans="1:13" ht="15" customHeight="1" x14ac:dyDescent="0.4">
      <c r="A92" s="537"/>
      <c r="B92" s="540"/>
      <c r="C92" s="543"/>
      <c r="D92" s="543"/>
      <c r="E92" s="543"/>
      <c r="F92" s="548"/>
      <c r="G92" s="549"/>
      <c r="H92" s="553"/>
      <c r="I92" s="553"/>
      <c r="J92" s="558"/>
      <c r="K92" s="559"/>
      <c r="L92" s="559"/>
      <c r="M92" s="560"/>
    </row>
    <row r="93" spans="1:13" ht="15" customHeight="1" x14ac:dyDescent="0.4">
      <c r="A93" s="538"/>
      <c r="B93" s="541"/>
      <c r="C93" s="544"/>
      <c r="D93" s="544"/>
      <c r="E93" s="544"/>
      <c r="F93" s="550"/>
      <c r="G93" s="551"/>
      <c r="H93" s="554"/>
      <c r="I93" s="554"/>
      <c r="J93" s="561"/>
      <c r="K93" s="562"/>
      <c r="L93" s="562"/>
      <c r="M93" s="563"/>
    </row>
    <row r="94" spans="1:13" ht="15" customHeight="1" x14ac:dyDescent="0.4">
      <c r="A94" s="536">
        <v>24</v>
      </c>
      <c r="B94" s="539" t="str">
        <f ca="1">IF(OFFSET(馬匹登録!$AC$7,A94,0)&lt;&gt;"",OFFSET(馬匹登録!$AC$7,A94,0),"")</f>
        <v/>
      </c>
      <c r="C94" s="542"/>
      <c r="D94" s="545"/>
      <c r="E94" s="545"/>
      <c r="F94" s="546"/>
      <c r="G94" s="547"/>
      <c r="H94" s="552"/>
      <c r="I94" s="552"/>
      <c r="J94" s="555"/>
      <c r="K94" s="556"/>
      <c r="L94" s="556"/>
      <c r="M94" s="557"/>
    </row>
    <row r="95" spans="1:13" ht="15" customHeight="1" x14ac:dyDescent="0.4">
      <c r="A95" s="537"/>
      <c r="B95" s="540"/>
      <c r="C95" s="543"/>
      <c r="D95" s="543"/>
      <c r="E95" s="543"/>
      <c r="F95" s="548"/>
      <c r="G95" s="549"/>
      <c r="H95" s="553"/>
      <c r="I95" s="553"/>
      <c r="J95" s="558"/>
      <c r="K95" s="559"/>
      <c r="L95" s="559"/>
      <c r="M95" s="560"/>
    </row>
    <row r="96" spans="1:13" ht="15" customHeight="1" x14ac:dyDescent="0.4">
      <c r="A96" s="538"/>
      <c r="B96" s="541"/>
      <c r="C96" s="544"/>
      <c r="D96" s="544"/>
      <c r="E96" s="544"/>
      <c r="F96" s="550"/>
      <c r="G96" s="551"/>
      <c r="H96" s="554"/>
      <c r="I96" s="554"/>
      <c r="J96" s="561"/>
      <c r="K96" s="562"/>
      <c r="L96" s="562"/>
      <c r="M96" s="563"/>
    </row>
    <row r="97" spans="1:13" ht="15" customHeight="1" x14ac:dyDescent="0.4">
      <c r="A97" s="536">
        <v>25</v>
      </c>
      <c r="B97" s="539" t="str">
        <f ca="1">IF(OFFSET(馬匹登録!$AC$7,A97,0)&lt;&gt;"",OFFSET(馬匹登録!$AC$7,A97,0),"")</f>
        <v/>
      </c>
      <c r="C97" s="542"/>
      <c r="D97" s="545"/>
      <c r="E97" s="545"/>
      <c r="F97" s="546"/>
      <c r="G97" s="547"/>
      <c r="H97" s="552"/>
      <c r="I97" s="552"/>
      <c r="J97" s="555"/>
      <c r="K97" s="556"/>
      <c r="L97" s="556"/>
      <c r="M97" s="557"/>
    </row>
    <row r="98" spans="1:13" ht="15" customHeight="1" x14ac:dyDescent="0.4">
      <c r="A98" s="537"/>
      <c r="B98" s="540"/>
      <c r="C98" s="543"/>
      <c r="D98" s="543"/>
      <c r="E98" s="543"/>
      <c r="F98" s="548"/>
      <c r="G98" s="549"/>
      <c r="H98" s="553"/>
      <c r="I98" s="553"/>
      <c r="J98" s="558"/>
      <c r="K98" s="559"/>
      <c r="L98" s="559"/>
      <c r="M98" s="560"/>
    </row>
    <row r="99" spans="1:13" ht="15" customHeight="1" x14ac:dyDescent="0.4">
      <c r="A99" s="538"/>
      <c r="B99" s="541"/>
      <c r="C99" s="544"/>
      <c r="D99" s="544"/>
      <c r="E99" s="544"/>
      <c r="F99" s="550"/>
      <c r="G99" s="551"/>
      <c r="H99" s="554"/>
      <c r="I99" s="554"/>
      <c r="J99" s="561"/>
      <c r="K99" s="562"/>
      <c r="L99" s="562"/>
      <c r="M99" s="563"/>
    </row>
    <row r="100" spans="1:13" ht="15" customHeight="1" x14ac:dyDescent="0.4">
      <c r="A100" s="536">
        <v>26</v>
      </c>
      <c r="B100" s="539" t="str">
        <f ca="1">IF(OFFSET(馬匹登録!$AC$7,A100,0)&lt;&gt;"",OFFSET(馬匹登録!$AC$7,A100,0),"")</f>
        <v/>
      </c>
      <c r="C100" s="542"/>
      <c r="D100" s="545"/>
      <c r="E100" s="545"/>
      <c r="F100" s="546"/>
      <c r="G100" s="547"/>
      <c r="H100" s="552"/>
      <c r="I100" s="552"/>
      <c r="J100" s="555"/>
      <c r="K100" s="556"/>
      <c r="L100" s="556"/>
      <c r="M100" s="557"/>
    </row>
    <row r="101" spans="1:13" ht="15" customHeight="1" x14ac:dyDescent="0.4">
      <c r="A101" s="537"/>
      <c r="B101" s="540"/>
      <c r="C101" s="543"/>
      <c r="D101" s="543"/>
      <c r="E101" s="543"/>
      <c r="F101" s="548"/>
      <c r="G101" s="549"/>
      <c r="H101" s="553"/>
      <c r="I101" s="553"/>
      <c r="J101" s="558"/>
      <c r="K101" s="559"/>
      <c r="L101" s="559"/>
      <c r="M101" s="560"/>
    </row>
    <row r="102" spans="1:13" ht="15" customHeight="1" x14ac:dyDescent="0.4">
      <c r="A102" s="538"/>
      <c r="B102" s="541"/>
      <c r="C102" s="544"/>
      <c r="D102" s="544"/>
      <c r="E102" s="544"/>
      <c r="F102" s="550"/>
      <c r="G102" s="551"/>
      <c r="H102" s="554"/>
      <c r="I102" s="554"/>
      <c r="J102" s="561"/>
      <c r="K102" s="562"/>
      <c r="L102" s="562"/>
      <c r="M102" s="563"/>
    </row>
    <row r="103" spans="1:13" ht="15" customHeight="1" x14ac:dyDescent="0.4">
      <c r="A103" s="536">
        <v>27</v>
      </c>
      <c r="B103" s="539" t="str">
        <f ca="1">IF(OFFSET(馬匹登録!$AC$7,A103,0)&lt;&gt;"",OFFSET(馬匹登録!$AC$7,A103,0),"")</f>
        <v/>
      </c>
      <c r="C103" s="542"/>
      <c r="D103" s="545"/>
      <c r="E103" s="545"/>
      <c r="F103" s="546"/>
      <c r="G103" s="547"/>
      <c r="H103" s="552"/>
      <c r="I103" s="552"/>
      <c r="J103" s="555"/>
      <c r="K103" s="556"/>
      <c r="L103" s="556"/>
      <c r="M103" s="557"/>
    </row>
    <row r="104" spans="1:13" ht="15" customHeight="1" x14ac:dyDescent="0.4">
      <c r="A104" s="537"/>
      <c r="B104" s="540"/>
      <c r="C104" s="543"/>
      <c r="D104" s="543"/>
      <c r="E104" s="543"/>
      <c r="F104" s="548"/>
      <c r="G104" s="549"/>
      <c r="H104" s="553"/>
      <c r="I104" s="553"/>
      <c r="J104" s="558"/>
      <c r="K104" s="559"/>
      <c r="L104" s="559"/>
      <c r="M104" s="560"/>
    </row>
    <row r="105" spans="1:13" ht="15" customHeight="1" x14ac:dyDescent="0.4">
      <c r="A105" s="538"/>
      <c r="B105" s="541"/>
      <c r="C105" s="544"/>
      <c r="D105" s="544"/>
      <c r="E105" s="544"/>
      <c r="F105" s="550"/>
      <c r="G105" s="551"/>
      <c r="H105" s="554"/>
      <c r="I105" s="554"/>
      <c r="J105" s="561"/>
      <c r="K105" s="562"/>
      <c r="L105" s="562"/>
      <c r="M105" s="563"/>
    </row>
    <row r="106" spans="1:13" ht="15" customHeight="1" x14ac:dyDescent="0.4">
      <c r="A106" s="536">
        <v>28</v>
      </c>
      <c r="B106" s="539" t="str">
        <f ca="1">IF(OFFSET(馬匹登録!$AC$7,A106,0)&lt;&gt;"",OFFSET(馬匹登録!$AC$7,A106,0),"")</f>
        <v/>
      </c>
      <c r="C106" s="542"/>
      <c r="D106" s="545"/>
      <c r="E106" s="545"/>
      <c r="F106" s="546"/>
      <c r="G106" s="547"/>
      <c r="H106" s="552"/>
      <c r="I106" s="552"/>
      <c r="J106" s="555"/>
      <c r="K106" s="556"/>
      <c r="L106" s="556"/>
      <c r="M106" s="557"/>
    </row>
    <row r="107" spans="1:13" ht="15" customHeight="1" x14ac:dyDescent="0.4">
      <c r="A107" s="537"/>
      <c r="B107" s="540"/>
      <c r="C107" s="543"/>
      <c r="D107" s="543"/>
      <c r="E107" s="543"/>
      <c r="F107" s="548"/>
      <c r="G107" s="549"/>
      <c r="H107" s="553"/>
      <c r="I107" s="553"/>
      <c r="J107" s="558"/>
      <c r="K107" s="559"/>
      <c r="L107" s="559"/>
      <c r="M107" s="560"/>
    </row>
    <row r="108" spans="1:13" ht="15" customHeight="1" x14ac:dyDescent="0.4">
      <c r="A108" s="538"/>
      <c r="B108" s="541"/>
      <c r="C108" s="544"/>
      <c r="D108" s="544"/>
      <c r="E108" s="544"/>
      <c r="F108" s="550"/>
      <c r="G108" s="551"/>
      <c r="H108" s="554"/>
      <c r="I108" s="554"/>
      <c r="J108" s="561"/>
      <c r="K108" s="562"/>
      <c r="L108" s="562"/>
      <c r="M108" s="563"/>
    </row>
    <row r="109" spans="1:13" ht="15" customHeight="1" x14ac:dyDescent="0.4">
      <c r="A109" s="536">
        <v>29</v>
      </c>
      <c r="B109" s="539" t="str">
        <f ca="1">IF(OFFSET(馬匹登録!$AC$7,A109,0)&lt;&gt;"",OFFSET(馬匹登録!$AC$7,A109,0),"")</f>
        <v/>
      </c>
      <c r="C109" s="542"/>
      <c r="D109" s="545"/>
      <c r="E109" s="545"/>
      <c r="F109" s="546"/>
      <c r="G109" s="547"/>
      <c r="H109" s="552"/>
      <c r="I109" s="552"/>
      <c r="J109" s="555"/>
      <c r="K109" s="556"/>
      <c r="L109" s="556"/>
      <c r="M109" s="557"/>
    </row>
    <row r="110" spans="1:13" ht="15" customHeight="1" x14ac:dyDescent="0.4">
      <c r="A110" s="537"/>
      <c r="B110" s="540"/>
      <c r="C110" s="543"/>
      <c r="D110" s="543"/>
      <c r="E110" s="543"/>
      <c r="F110" s="548"/>
      <c r="G110" s="549"/>
      <c r="H110" s="553"/>
      <c r="I110" s="553"/>
      <c r="J110" s="558"/>
      <c r="K110" s="559"/>
      <c r="L110" s="559"/>
      <c r="M110" s="560"/>
    </row>
    <row r="111" spans="1:13" ht="15" customHeight="1" x14ac:dyDescent="0.4">
      <c r="A111" s="538"/>
      <c r="B111" s="541"/>
      <c r="C111" s="544"/>
      <c r="D111" s="544"/>
      <c r="E111" s="544"/>
      <c r="F111" s="550"/>
      <c r="G111" s="551"/>
      <c r="H111" s="554"/>
      <c r="I111" s="554"/>
      <c r="J111" s="561"/>
      <c r="K111" s="562"/>
      <c r="L111" s="562"/>
      <c r="M111" s="563"/>
    </row>
    <row r="112" spans="1:13" ht="15" customHeight="1" x14ac:dyDescent="0.4">
      <c r="A112" s="536">
        <v>30</v>
      </c>
      <c r="B112" s="539" t="str">
        <f ca="1">IF(OFFSET(馬匹登録!$AC$7,A112,0)&lt;&gt;"",OFFSET(馬匹登録!$AC$7,A112,0),"")</f>
        <v/>
      </c>
      <c r="C112" s="542"/>
      <c r="D112" s="545"/>
      <c r="E112" s="545"/>
      <c r="F112" s="546"/>
      <c r="G112" s="547"/>
      <c r="H112" s="552"/>
      <c r="I112" s="552"/>
      <c r="J112" s="555"/>
      <c r="K112" s="556"/>
      <c r="L112" s="556"/>
      <c r="M112" s="557"/>
    </row>
    <row r="113" spans="1:13" ht="15" customHeight="1" x14ac:dyDescent="0.4">
      <c r="A113" s="537"/>
      <c r="B113" s="540"/>
      <c r="C113" s="543"/>
      <c r="D113" s="543"/>
      <c r="E113" s="543"/>
      <c r="F113" s="548"/>
      <c r="G113" s="549"/>
      <c r="H113" s="553"/>
      <c r="I113" s="553"/>
      <c r="J113" s="558"/>
      <c r="K113" s="559"/>
      <c r="L113" s="559"/>
      <c r="M113" s="560"/>
    </row>
    <row r="114" spans="1:13" ht="15" customHeight="1" x14ac:dyDescent="0.4">
      <c r="A114" s="538"/>
      <c r="B114" s="541"/>
      <c r="C114" s="544"/>
      <c r="D114" s="544"/>
      <c r="E114" s="544"/>
      <c r="F114" s="550"/>
      <c r="G114" s="551"/>
      <c r="H114" s="554"/>
      <c r="I114" s="554"/>
      <c r="J114" s="561"/>
      <c r="K114" s="562"/>
      <c r="L114" s="562"/>
      <c r="M114" s="563"/>
    </row>
    <row r="115" spans="1:13" ht="21" customHeight="1" x14ac:dyDescent="0.4">
      <c r="D115" s="1" t="s">
        <v>135</v>
      </c>
      <c r="E115" s="150" t="str">
        <f>$E$35</f>
        <v>2023年</v>
      </c>
      <c r="F115" s="151" t="str">
        <f>$F$35</f>
        <v>月</v>
      </c>
      <c r="G115" s="152" t="str">
        <f>$G$35</f>
        <v>日</v>
      </c>
      <c r="H115" s="153" t="s">
        <v>136</v>
      </c>
      <c r="I115" s="154" t="str">
        <f>$I$35</f>
        <v>時</v>
      </c>
    </row>
    <row r="116" spans="1:13" ht="21" customHeight="1" x14ac:dyDescent="0.4">
      <c r="D116" s="1" t="s">
        <v>138</v>
      </c>
      <c r="E116" s="150" t="str">
        <f>$E$36</f>
        <v>2023年</v>
      </c>
      <c r="F116" s="151" t="str">
        <f>$F$36</f>
        <v>月</v>
      </c>
      <c r="G116" s="152" t="str">
        <f>$G$36</f>
        <v>日</v>
      </c>
      <c r="H116" s="153" t="s">
        <v>136</v>
      </c>
      <c r="I116" s="154" t="str">
        <f>$I$36</f>
        <v>時</v>
      </c>
    </row>
    <row r="117" spans="1:13" ht="6" customHeight="1" x14ac:dyDescent="0.4"/>
    <row r="118" spans="1:13" ht="24" customHeight="1" x14ac:dyDescent="0.4">
      <c r="B118" s="49" t="s">
        <v>139</v>
      </c>
      <c r="J118" s="47" t="s">
        <v>18</v>
      </c>
      <c r="K118" s="534" t="str">
        <f>IF(団体登録!$B$7&lt;&gt;"",団体登録!$B$7,"")</f>
        <v/>
      </c>
      <c r="L118" s="534"/>
    </row>
    <row r="119" spans="1:13" ht="24" customHeight="1" x14ac:dyDescent="0.4">
      <c r="J119" s="48" t="s">
        <v>21</v>
      </c>
      <c r="K119" s="155" t="str">
        <f>IF(団体登録!$B$12&lt;&gt;"",団体登録!$B$12,"")</f>
        <v/>
      </c>
      <c r="L119" s="156" t="s">
        <v>143</v>
      </c>
    </row>
    <row r="120" spans="1:13" ht="24" customHeight="1" x14ac:dyDescent="0.4">
      <c r="J120" s="48" t="s">
        <v>140</v>
      </c>
      <c r="K120" s="535" t="str">
        <f>IF(団体登録!$B$9&lt;&gt;"",団体登録!$B$9&amp;" "&amp;団体登録!$B$10,"")</f>
        <v/>
      </c>
      <c r="L120" s="535"/>
    </row>
    <row r="121" spans="1:13" ht="24" customHeight="1" x14ac:dyDescent="0.4">
      <c r="J121" s="48" t="s">
        <v>141</v>
      </c>
      <c r="K121" s="535" t="str">
        <f>IF(団体登録!$B$11&lt;&gt;"",団体登録!$B$11,"")</f>
        <v/>
      </c>
      <c r="L121" s="535"/>
    </row>
    <row r="122" spans="1:13" ht="24" customHeight="1" x14ac:dyDescent="0.4">
      <c r="J122" s="48" t="s">
        <v>142</v>
      </c>
      <c r="K122" s="535"/>
      <c r="L122" s="535"/>
    </row>
    <row r="123" spans="1:13" ht="27" customHeight="1" x14ac:dyDescent="0.5">
      <c r="A123" s="564" t="s">
        <v>128</v>
      </c>
      <c r="B123" s="564"/>
      <c r="C123" s="564"/>
      <c r="D123" s="564"/>
      <c r="E123" s="564"/>
      <c r="F123" s="564"/>
      <c r="G123" s="564"/>
      <c r="H123" s="564"/>
      <c r="I123" s="564"/>
      <c r="J123" s="564"/>
      <c r="K123" s="564"/>
      <c r="L123" s="564"/>
      <c r="M123" s="565"/>
    </row>
    <row r="124" spans="1:13" ht="37.5" customHeight="1" x14ac:dyDescent="0.4">
      <c r="A124" s="44"/>
      <c r="B124" s="27" t="s">
        <v>34</v>
      </c>
      <c r="C124" s="27" t="s">
        <v>55</v>
      </c>
      <c r="D124" s="27" t="s">
        <v>129</v>
      </c>
      <c r="E124" s="27" t="s">
        <v>130</v>
      </c>
      <c r="F124" s="566" t="s">
        <v>131</v>
      </c>
      <c r="G124" s="567"/>
      <c r="H124" s="45" t="s">
        <v>132</v>
      </c>
      <c r="I124" s="45" t="s">
        <v>133</v>
      </c>
      <c r="J124" s="566" t="s">
        <v>134</v>
      </c>
      <c r="K124" s="568"/>
      <c r="L124" s="568"/>
      <c r="M124" s="567"/>
    </row>
    <row r="125" spans="1:13" ht="15" customHeight="1" x14ac:dyDescent="0.4">
      <c r="A125" s="536">
        <v>31</v>
      </c>
      <c r="B125" s="539" t="str">
        <f ca="1">IF(OFFSET(馬匹登録!$AC$7,A125,0)&lt;&gt;"",OFFSET(馬匹登録!$AC$7,A125,0),"")</f>
        <v/>
      </c>
      <c r="C125" s="542"/>
      <c r="D125" s="545"/>
      <c r="E125" s="545"/>
      <c r="F125" s="546"/>
      <c r="G125" s="547"/>
      <c r="H125" s="552"/>
      <c r="I125" s="552"/>
      <c r="J125" s="555"/>
      <c r="K125" s="556"/>
      <c r="L125" s="556"/>
      <c r="M125" s="557"/>
    </row>
    <row r="126" spans="1:13" ht="15" customHeight="1" x14ac:dyDescent="0.4">
      <c r="A126" s="537"/>
      <c r="B126" s="540"/>
      <c r="C126" s="543"/>
      <c r="D126" s="543"/>
      <c r="E126" s="543"/>
      <c r="F126" s="548"/>
      <c r="G126" s="549"/>
      <c r="H126" s="553"/>
      <c r="I126" s="553"/>
      <c r="J126" s="558"/>
      <c r="K126" s="559"/>
      <c r="L126" s="559"/>
      <c r="M126" s="560"/>
    </row>
    <row r="127" spans="1:13" ht="15" customHeight="1" x14ac:dyDescent="0.4">
      <c r="A127" s="538"/>
      <c r="B127" s="541"/>
      <c r="C127" s="544"/>
      <c r="D127" s="544"/>
      <c r="E127" s="544"/>
      <c r="F127" s="550"/>
      <c r="G127" s="551"/>
      <c r="H127" s="554"/>
      <c r="I127" s="554"/>
      <c r="J127" s="561"/>
      <c r="K127" s="562"/>
      <c r="L127" s="562"/>
      <c r="M127" s="563"/>
    </row>
    <row r="128" spans="1:13" ht="15" customHeight="1" x14ac:dyDescent="0.4">
      <c r="A128" s="536">
        <v>32</v>
      </c>
      <c r="B128" s="539" t="str">
        <f ca="1">IF(OFFSET(馬匹登録!$AC$7,A128,0)&lt;&gt;"",OFFSET(馬匹登録!$AC$7,A128,0),"")</f>
        <v/>
      </c>
      <c r="C128" s="542"/>
      <c r="D128" s="545"/>
      <c r="E128" s="545"/>
      <c r="F128" s="546"/>
      <c r="G128" s="547"/>
      <c r="H128" s="552"/>
      <c r="I128" s="552"/>
      <c r="J128" s="555"/>
      <c r="K128" s="556"/>
      <c r="L128" s="556"/>
      <c r="M128" s="557"/>
    </row>
    <row r="129" spans="1:13" ht="15" customHeight="1" x14ac:dyDescent="0.4">
      <c r="A129" s="537"/>
      <c r="B129" s="540"/>
      <c r="C129" s="543"/>
      <c r="D129" s="543"/>
      <c r="E129" s="543"/>
      <c r="F129" s="548"/>
      <c r="G129" s="549"/>
      <c r="H129" s="553"/>
      <c r="I129" s="553"/>
      <c r="J129" s="558"/>
      <c r="K129" s="559"/>
      <c r="L129" s="559"/>
      <c r="M129" s="560"/>
    </row>
    <row r="130" spans="1:13" ht="15" customHeight="1" x14ac:dyDescent="0.4">
      <c r="A130" s="538"/>
      <c r="B130" s="541"/>
      <c r="C130" s="544"/>
      <c r="D130" s="544"/>
      <c r="E130" s="544"/>
      <c r="F130" s="550"/>
      <c r="G130" s="551"/>
      <c r="H130" s="554"/>
      <c r="I130" s="554"/>
      <c r="J130" s="561"/>
      <c r="K130" s="562"/>
      <c r="L130" s="562"/>
      <c r="M130" s="563"/>
    </row>
    <row r="131" spans="1:13" ht="15" customHeight="1" x14ac:dyDescent="0.4">
      <c r="A131" s="536">
        <v>33</v>
      </c>
      <c r="B131" s="539" t="str">
        <f ca="1">IF(OFFSET(馬匹登録!$AC$7,A131,0)&lt;&gt;"",OFFSET(馬匹登録!$AC$7,A131,0),"")</f>
        <v/>
      </c>
      <c r="C131" s="542"/>
      <c r="D131" s="545"/>
      <c r="E131" s="545"/>
      <c r="F131" s="546"/>
      <c r="G131" s="547"/>
      <c r="H131" s="552"/>
      <c r="I131" s="552"/>
      <c r="J131" s="555"/>
      <c r="K131" s="556"/>
      <c r="L131" s="556"/>
      <c r="M131" s="557"/>
    </row>
    <row r="132" spans="1:13" ht="15" customHeight="1" x14ac:dyDescent="0.4">
      <c r="A132" s="537"/>
      <c r="B132" s="540"/>
      <c r="C132" s="543"/>
      <c r="D132" s="543"/>
      <c r="E132" s="543"/>
      <c r="F132" s="548"/>
      <c r="G132" s="549"/>
      <c r="H132" s="553"/>
      <c r="I132" s="553"/>
      <c r="J132" s="558"/>
      <c r="K132" s="559"/>
      <c r="L132" s="559"/>
      <c r="M132" s="560"/>
    </row>
    <row r="133" spans="1:13" ht="15" customHeight="1" x14ac:dyDescent="0.4">
      <c r="A133" s="538"/>
      <c r="B133" s="541"/>
      <c r="C133" s="544"/>
      <c r="D133" s="544"/>
      <c r="E133" s="544"/>
      <c r="F133" s="550"/>
      <c r="G133" s="551"/>
      <c r="H133" s="554"/>
      <c r="I133" s="554"/>
      <c r="J133" s="561"/>
      <c r="K133" s="562"/>
      <c r="L133" s="562"/>
      <c r="M133" s="563"/>
    </row>
    <row r="134" spans="1:13" ht="15" customHeight="1" x14ac:dyDescent="0.4">
      <c r="A134" s="536">
        <v>34</v>
      </c>
      <c r="B134" s="539" t="str">
        <f ca="1">IF(OFFSET(馬匹登録!$AC$7,A134,0)&lt;&gt;"",OFFSET(馬匹登録!$AC$7,A134,0),"")</f>
        <v/>
      </c>
      <c r="C134" s="542"/>
      <c r="D134" s="545"/>
      <c r="E134" s="545"/>
      <c r="F134" s="546"/>
      <c r="G134" s="547"/>
      <c r="H134" s="552"/>
      <c r="I134" s="552"/>
      <c r="J134" s="555"/>
      <c r="K134" s="556"/>
      <c r="L134" s="556"/>
      <c r="M134" s="557"/>
    </row>
    <row r="135" spans="1:13" ht="15" customHeight="1" x14ac:dyDescent="0.4">
      <c r="A135" s="537"/>
      <c r="B135" s="540"/>
      <c r="C135" s="543"/>
      <c r="D135" s="543"/>
      <c r="E135" s="543"/>
      <c r="F135" s="548"/>
      <c r="G135" s="549"/>
      <c r="H135" s="553"/>
      <c r="I135" s="553"/>
      <c r="J135" s="558"/>
      <c r="K135" s="559"/>
      <c r="L135" s="559"/>
      <c r="M135" s="560"/>
    </row>
    <row r="136" spans="1:13" ht="15" customHeight="1" x14ac:dyDescent="0.4">
      <c r="A136" s="538"/>
      <c r="B136" s="541"/>
      <c r="C136" s="544"/>
      <c r="D136" s="544"/>
      <c r="E136" s="544"/>
      <c r="F136" s="550"/>
      <c r="G136" s="551"/>
      <c r="H136" s="554"/>
      <c r="I136" s="554"/>
      <c r="J136" s="561"/>
      <c r="K136" s="562"/>
      <c r="L136" s="562"/>
      <c r="M136" s="563"/>
    </row>
    <row r="137" spans="1:13" ht="15" customHeight="1" x14ac:dyDescent="0.4">
      <c r="A137" s="536">
        <v>35</v>
      </c>
      <c r="B137" s="539" t="str">
        <f ca="1">IF(OFFSET(馬匹登録!$AC$7,A137,0)&lt;&gt;"",OFFSET(馬匹登録!$AC$7,A137,0),"")</f>
        <v/>
      </c>
      <c r="C137" s="542"/>
      <c r="D137" s="545"/>
      <c r="E137" s="545"/>
      <c r="F137" s="546"/>
      <c r="G137" s="547"/>
      <c r="H137" s="552"/>
      <c r="I137" s="552"/>
      <c r="J137" s="555"/>
      <c r="K137" s="556"/>
      <c r="L137" s="556"/>
      <c r="M137" s="557"/>
    </row>
    <row r="138" spans="1:13" ht="15" customHeight="1" x14ac:dyDescent="0.4">
      <c r="A138" s="537"/>
      <c r="B138" s="540"/>
      <c r="C138" s="543"/>
      <c r="D138" s="543"/>
      <c r="E138" s="543"/>
      <c r="F138" s="548"/>
      <c r="G138" s="549"/>
      <c r="H138" s="553"/>
      <c r="I138" s="553"/>
      <c r="J138" s="558"/>
      <c r="K138" s="559"/>
      <c r="L138" s="559"/>
      <c r="M138" s="560"/>
    </row>
    <row r="139" spans="1:13" ht="15" customHeight="1" x14ac:dyDescent="0.4">
      <c r="A139" s="538"/>
      <c r="B139" s="541"/>
      <c r="C139" s="544"/>
      <c r="D139" s="544"/>
      <c r="E139" s="544"/>
      <c r="F139" s="550"/>
      <c r="G139" s="551"/>
      <c r="H139" s="554"/>
      <c r="I139" s="554"/>
      <c r="J139" s="561"/>
      <c r="K139" s="562"/>
      <c r="L139" s="562"/>
      <c r="M139" s="563"/>
    </row>
    <row r="140" spans="1:13" ht="15" customHeight="1" x14ac:dyDescent="0.4">
      <c r="A140" s="536">
        <v>36</v>
      </c>
      <c r="B140" s="539" t="str">
        <f ca="1">IF(OFFSET(馬匹登録!$AC$7,A140,0)&lt;&gt;"",OFFSET(馬匹登録!$AC$7,A140,0),"")</f>
        <v/>
      </c>
      <c r="C140" s="542"/>
      <c r="D140" s="545"/>
      <c r="E140" s="545"/>
      <c r="F140" s="546"/>
      <c r="G140" s="547"/>
      <c r="H140" s="552"/>
      <c r="I140" s="552"/>
      <c r="J140" s="555"/>
      <c r="K140" s="556"/>
      <c r="L140" s="556"/>
      <c r="M140" s="557"/>
    </row>
    <row r="141" spans="1:13" ht="15" customHeight="1" x14ac:dyDescent="0.4">
      <c r="A141" s="537"/>
      <c r="B141" s="540"/>
      <c r="C141" s="543"/>
      <c r="D141" s="543"/>
      <c r="E141" s="543"/>
      <c r="F141" s="548"/>
      <c r="G141" s="549"/>
      <c r="H141" s="553"/>
      <c r="I141" s="553"/>
      <c r="J141" s="558"/>
      <c r="K141" s="559"/>
      <c r="L141" s="559"/>
      <c r="M141" s="560"/>
    </row>
    <row r="142" spans="1:13" ht="15" customHeight="1" x14ac:dyDescent="0.4">
      <c r="A142" s="538"/>
      <c r="B142" s="541"/>
      <c r="C142" s="544"/>
      <c r="D142" s="544"/>
      <c r="E142" s="544"/>
      <c r="F142" s="550"/>
      <c r="G142" s="551"/>
      <c r="H142" s="554"/>
      <c r="I142" s="554"/>
      <c r="J142" s="561"/>
      <c r="K142" s="562"/>
      <c r="L142" s="562"/>
      <c r="M142" s="563"/>
    </row>
    <row r="143" spans="1:13" ht="15" customHeight="1" x14ac:dyDescent="0.4">
      <c r="A143" s="536">
        <v>37</v>
      </c>
      <c r="B143" s="539" t="str">
        <f ca="1">IF(OFFSET(馬匹登録!$AC$7,A143,0)&lt;&gt;"",OFFSET(馬匹登録!$AC$7,A143,0),"")</f>
        <v/>
      </c>
      <c r="C143" s="542"/>
      <c r="D143" s="545"/>
      <c r="E143" s="545"/>
      <c r="F143" s="546"/>
      <c r="G143" s="547"/>
      <c r="H143" s="552"/>
      <c r="I143" s="552"/>
      <c r="J143" s="555"/>
      <c r="K143" s="556"/>
      <c r="L143" s="556"/>
      <c r="M143" s="557"/>
    </row>
    <row r="144" spans="1:13" ht="15" customHeight="1" x14ac:dyDescent="0.4">
      <c r="A144" s="537"/>
      <c r="B144" s="540"/>
      <c r="C144" s="543"/>
      <c r="D144" s="543"/>
      <c r="E144" s="543"/>
      <c r="F144" s="548"/>
      <c r="G144" s="549"/>
      <c r="H144" s="553"/>
      <c r="I144" s="553"/>
      <c r="J144" s="558"/>
      <c r="K144" s="559"/>
      <c r="L144" s="559"/>
      <c r="M144" s="560"/>
    </row>
    <row r="145" spans="1:13" ht="15" customHeight="1" x14ac:dyDescent="0.4">
      <c r="A145" s="538"/>
      <c r="B145" s="541"/>
      <c r="C145" s="544"/>
      <c r="D145" s="544"/>
      <c r="E145" s="544"/>
      <c r="F145" s="550"/>
      <c r="G145" s="551"/>
      <c r="H145" s="554"/>
      <c r="I145" s="554"/>
      <c r="J145" s="561"/>
      <c r="K145" s="562"/>
      <c r="L145" s="562"/>
      <c r="M145" s="563"/>
    </row>
    <row r="146" spans="1:13" ht="15" customHeight="1" x14ac:dyDescent="0.4">
      <c r="A146" s="536">
        <v>38</v>
      </c>
      <c r="B146" s="539" t="str">
        <f ca="1">IF(OFFSET(馬匹登録!$AC$7,A146,0)&lt;&gt;"",OFFSET(馬匹登録!$AC$7,A146,0),"")</f>
        <v/>
      </c>
      <c r="C146" s="542"/>
      <c r="D146" s="545"/>
      <c r="E146" s="545"/>
      <c r="F146" s="546"/>
      <c r="G146" s="547"/>
      <c r="H146" s="552"/>
      <c r="I146" s="552"/>
      <c r="J146" s="555"/>
      <c r="K146" s="556"/>
      <c r="L146" s="556"/>
      <c r="M146" s="557"/>
    </row>
    <row r="147" spans="1:13" ht="15" customHeight="1" x14ac:dyDescent="0.4">
      <c r="A147" s="537"/>
      <c r="B147" s="540"/>
      <c r="C147" s="543"/>
      <c r="D147" s="543"/>
      <c r="E147" s="543"/>
      <c r="F147" s="548"/>
      <c r="G147" s="549"/>
      <c r="H147" s="553"/>
      <c r="I147" s="553"/>
      <c r="J147" s="558"/>
      <c r="K147" s="559"/>
      <c r="L147" s="559"/>
      <c r="M147" s="560"/>
    </row>
    <row r="148" spans="1:13" ht="15" customHeight="1" x14ac:dyDescent="0.4">
      <c r="A148" s="538"/>
      <c r="B148" s="541"/>
      <c r="C148" s="544"/>
      <c r="D148" s="544"/>
      <c r="E148" s="544"/>
      <c r="F148" s="550"/>
      <c r="G148" s="551"/>
      <c r="H148" s="554"/>
      <c r="I148" s="554"/>
      <c r="J148" s="561"/>
      <c r="K148" s="562"/>
      <c r="L148" s="562"/>
      <c r="M148" s="563"/>
    </row>
    <row r="149" spans="1:13" ht="15" customHeight="1" x14ac:dyDescent="0.4">
      <c r="A149" s="536">
        <v>39</v>
      </c>
      <c r="B149" s="539" t="str">
        <f ca="1">IF(OFFSET(馬匹登録!$AC$7,A149,0)&lt;&gt;"",OFFSET(馬匹登録!$AC$7,A149,0),"")</f>
        <v/>
      </c>
      <c r="C149" s="542"/>
      <c r="D149" s="545"/>
      <c r="E149" s="545"/>
      <c r="F149" s="546"/>
      <c r="G149" s="547"/>
      <c r="H149" s="552"/>
      <c r="I149" s="552"/>
      <c r="J149" s="555"/>
      <c r="K149" s="556"/>
      <c r="L149" s="556"/>
      <c r="M149" s="557"/>
    </row>
    <row r="150" spans="1:13" ht="15" customHeight="1" x14ac:dyDescent="0.4">
      <c r="A150" s="537"/>
      <c r="B150" s="540"/>
      <c r="C150" s="543"/>
      <c r="D150" s="543"/>
      <c r="E150" s="543"/>
      <c r="F150" s="548"/>
      <c r="G150" s="549"/>
      <c r="H150" s="553"/>
      <c r="I150" s="553"/>
      <c r="J150" s="558"/>
      <c r="K150" s="559"/>
      <c r="L150" s="559"/>
      <c r="M150" s="560"/>
    </row>
    <row r="151" spans="1:13" ht="15" customHeight="1" x14ac:dyDescent="0.4">
      <c r="A151" s="538"/>
      <c r="B151" s="541"/>
      <c r="C151" s="544"/>
      <c r="D151" s="544"/>
      <c r="E151" s="544"/>
      <c r="F151" s="550"/>
      <c r="G151" s="551"/>
      <c r="H151" s="554"/>
      <c r="I151" s="554"/>
      <c r="J151" s="561"/>
      <c r="K151" s="562"/>
      <c r="L151" s="562"/>
      <c r="M151" s="563"/>
    </row>
    <row r="152" spans="1:13" ht="15" customHeight="1" x14ac:dyDescent="0.4">
      <c r="A152" s="536">
        <v>40</v>
      </c>
      <c r="B152" s="539" t="str">
        <f ca="1">IF(OFFSET(馬匹登録!$AC$7,A152,0)&lt;&gt;"",OFFSET(馬匹登録!$AC$7,A152,0),"")</f>
        <v/>
      </c>
      <c r="C152" s="542"/>
      <c r="D152" s="545"/>
      <c r="E152" s="545"/>
      <c r="F152" s="546"/>
      <c r="G152" s="547"/>
      <c r="H152" s="552"/>
      <c r="I152" s="552"/>
      <c r="J152" s="555"/>
      <c r="K152" s="556"/>
      <c r="L152" s="556"/>
      <c r="M152" s="557"/>
    </row>
    <row r="153" spans="1:13" ht="15" customHeight="1" x14ac:dyDescent="0.4">
      <c r="A153" s="537"/>
      <c r="B153" s="540"/>
      <c r="C153" s="543"/>
      <c r="D153" s="543"/>
      <c r="E153" s="543"/>
      <c r="F153" s="548"/>
      <c r="G153" s="549"/>
      <c r="H153" s="553"/>
      <c r="I153" s="553"/>
      <c r="J153" s="558"/>
      <c r="K153" s="559"/>
      <c r="L153" s="559"/>
      <c r="M153" s="560"/>
    </row>
    <row r="154" spans="1:13" ht="15" customHeight="1" x14ac:dyDescent="0.4">
      <c r="A154" s="538"/>
      <c r="B154" s="541"/>
      <c r="C154" s="544"/>
      <c r="D154" s="544"/>
      <c r="E154" s="544"/>
      <c r="F154" s="550"/>
      <c r="G154" s="551"/>
      <c r="H154" s="554"/>
      <c r="I154" s="554"/>
      <c r="J154" s="561"/>
      <c r="K154" s="562"/>
      <c r="L154" s="562"/>
      <c r="M154" s="563"/>
    </row>
    <row r="155" spans="1:13" ht="21" customHeight="1" x14ac:dyDescent="0.4">
      <c r="D155" s="1" t="s">
        <v>135</v>
      </c>
      <c r="E155" s="150" t="str">
        <f>$E$35</f>
        <v>2023年</v>
      </c>
      <c r="F155" s="151" t="str">
        <f>$F$35</f>
        <v>月</v>
      </c>
      <c r="G155" s="152" t="str">
        <f>$G$35</f>
        <v>日</v>
      </c>
      <c r="H155" s="153" t="s">
        <v>136</v>
      </c>
      <c r="I155" s="154" t="str">
        <f>$I$35</f>
        <v>時</v>
      </c>
    </row>
    <row r="156" spans="1:13" ht="21" customHeight="1" x14ac:dyDescent="0.4">
      <c r="D156" s="1" t="s">
        <v>138</v>
      </c>
      <c r="E156" s="150" t="str">
        <f>$E$36</f>
        <v>2023年</v>
      </c>
      <c r="F156" s="151" t="str">
        <f>$F$36</f>
        <v>月</v>
      </c>
      <c r="G156" s="152" t="str">
        <f>$G$36</f>
        <v>日</v>
      </c>
      <c r="H156" s="153" t="s">
        <v>136</v>
      </c>
      <c r="I156" s="154" t="str">
        <f>$I$36</f>
        <v>時</v>
      </c>
    </row>
    <row r="157" spans="1:13" ht="6" customHeight="1" x14ac:dyDescent="0.4"/>
    <row r="158" spans="1:13" ht="24" customHeight="1" x14ac:dyDescent="0.4">
      <c r="B158" s="49" t="s">
        <v>139</v>
      </c>
      <c r="J158" s="47" t="s">
        <v>18</v>
      </c>
      <c r="K158" s="534" t="str">
        <f>IF(団体登録!$B$7&lt;&gt;"",団体登録!$B$7,"")</f>
        <v/>
      </c>
      <c r="L158" s="534"/>
    </row>
    <row r="159" spans="1:13" ht="24" customHeight="1" x14ac:dyDescent="0.4">
      <c r="J159" s="48" t="s">
        <v>21</v>
      </c>
      <c r="K159" s="155" t="str">
        <f>IF(団体登録!$B$12&lt;&gt;"",団体登録!$B$12,"")</f>
        <v/>
      </c>
      <c r="L159" s="156" t="s">
        <v>143</v>
      </c>
    </row>
    <row r="160" spans="1:13" ht="24" customHeight="1" x14ac:dyDescent="0.4">
      <c r="J160" s="48" t="s">
        <v>140</v>
      </c>
      <c r="K160" s="535" t="str">
        <f>IF(団体登録!$B$9&lt;&gt;"",団体登録!$B$9&amp;" "&amp;団体登録!$B$10,"")</f>
        <v/>
      </c>
      <c r="L160" s="535"/>
    </row>
    <row r="161" spans="1:13" ht="24" customHeight="1" x14ac:dyDescent="0.4">
      <c r="J161" s="48" t="s">
        <v>141</v>
      </c>
      <c r="K161" s="535" t="str">
        <f>IF(団体登録!$B$11&lt;&gt;"",団体登録!$B$11,"")</f>
        <v/>
      </c>
      <c r="L161" s="535"/>
    </row>
    <row r="162" spans="1:13" ht="24" customHeight="1" x14ac:dyDescent="0.4">
      <c r="J162" s="48" t="s">
        <v>142</v>
      </c>
      <c r="K162" s="535"/>
      <c r="L162" s="535"/>
    </row>
    <row r="163" spans="1:13" ht="27" customHeight="1" x14ac:dyDescent="0.5">
      <c r="A163" s="564" t="s">
        <v>128</v>
      </c>
      <c r="B163" s="564"/>
      <c r="C163" s="564"/>
      <c r="D163" s="564"/>
      <c r="E163" s="564"/>
      <c r="F163" s="564"/>
      <c r="G163" s="564"/>
      <c r="H163" s="564"/>
      <c r="I163" s="564"/>
      <c r="J163" s="564"/>
      <c r="K163" s="564"/>
      <c r="L163" s="564"/>
      <c r="M163" s="565"/>
    </row>
    <row r="164" spans="1:13" ht="37.5" customHeight="1" x14ac:dyDescent="0.4">
      <c r="A164" s="44"/>
      <c r="B164" s="27" t="s">
        <v>34</v>
      </c>
      <c r="C164" s="27" t="s">
        <v>55</v>
      </c>
      <c r="D164" s="27" t="s">
        <v>129</v>
      </c>
      <c r="E164" s="27" t="s">
        <v>130</v>
      </c>
      <c r="F164" s="566" t="s">
        <v>131</v>
      </c>
      <c r="G164" s="567"/>
      <c r="H164" s="45" t="s">
        <v>132</v>
      </c>
      <c r="I164" s="45" t="s">
        <v>133</v>
      </c>
      <c r="J164" s="566" t="s">
        <v>134</v>
      </c>
      <c r="K164" s="568"/>
      <c r="L164" s="568"/>
      <c r="M164" s="567"/>
    </row>
    <row r="165" spans="1:13" ht="15" customHeight="1" x14ac:dyDescent="0.4">
      <c r="A165" s="536">
        <v>41</v>
      </c>
      <c r="B165" s="539" t="str">
        <f ca="1">IF(OFFSET(馬匹登録!$AC$7,A165,0)&lt;&gt;"",OFFSET(馬匹登録!$AC$7,A165,0),"")</f>
        <v/>
      </c>
      <c r="C165" s="542"/>
      <c r="D165" s="545"/>
      <c r="E165" s="545"/>
      <c r="F165" s="546"/>
      <c r="G165" s="547"/>
      <c r="H165" s="552"/>
      <c r="I165" s="552"/>
      <c r="J165" s="555"/>
      <c r="K165" s="556"/>
      <c r="L165" s="556"/>
      <c r="M165" s="557"/>
    </row>
    <row r="166" spans="1:13" ht="15" customHeight="1" x14ac:dyDescent="0.4">
      <c r="A166" s="537"/>
      <c r="B166" s="540"/>
      <c r="C166" s="543"/>
      <c r="D166" s="543"/>
      <c r="E166" s="543"/>
      <c r="F166" s="548"/>
      <c r="G166" s="549"/>
      <c r="H166" s="553"/>
      <c r="I166" s="553"/>
      <c r="J166" s="558"/>
      <c r="K166" s="559"/>
      <c r="L166" s="559"/>
      <c r="M166" s="560"/>
    </row>
    <row r="167" spans="1:13" ht="15" customHeight="1" x14ac:dyDescent="0.4">
      <c r="A167" s="538"/>
      <c r="B167" s="541"/>
      <c r="C167" s="544"/>
      <c r="D167" s="544"/>
      <c r="E167" s="544"/>
      <c r="F167" s="550"/>
      <c r="G167" s="551"/>
      <c r="H167" s="554"/>
      <c r="I167" s="554"/>
      <c r="J167" s="561"/>
      <c r="K167" s="562"/>
      <c r="L167" s="562"/>
      <c r="M167" s="563"/>
    </row>
    <row r="168" spans="1:13" ht="15" customHeight="1" x14ac:dyDescent="0.4">
      <c r="A168" s="536">
        <v>42</v>
      </c>
      <c r="B168" s="539" t="str">
        <f ca="1">IF(OFFSET(馬匹登録!$AC$7,A168,0)&lt;&gt;"",OFFSET(馬匹登録!$AC$7,A168,0),"")</f>
        <v/>
      </c>
      <c r="C168" s="542"/>
      <c r="D168" s="545"/>
      <c r="E168" s="545"/>
      <c r="F168" s="546"/>
      <c r="G168" s="547"/>
      <c r="H168" s="552"/>
      <c r="I168" s="552"/>
      <c r="J168" s="555"/>
      <c r="K168" s="556"/>
      <c r="L168" s="556"/>
      <c r="M168" s="557"/>
    </row>
    <row r="169" spans="1:13" ht="15" customHeight="1" x14ac:dyDescent="0.4">
      <c r="A169" s="537"/>
      <c r="B169" s="540"/>
      <c r="C169" s="543"/>
      <c r="D169" s="543"/>
      <c r="E169" s="543"/>
      <c r="F169" s="548"/>
      <c r="G169" s="549"/>
      <c r="H169" s="553"/>
      <c r="I169" s="553"/>
      <c r="J169" s="558"/>
      <c r="K169" s="559"/>
      <c r="L169" s="559"/>
      <c r="M169" s="560"/>
    </row>
    <row r="170" spans="1:13" ht="15" customHeight="1" x14ac:dyDescent="0.4">
      <c r="A170" s="538"/>
      <c r="B170" s="541"/>
      <c r="C170" s="544"/>
      <c r="D170" s="544"/>
      <c r="E170" s="544"/>
      <c r="F170" s="550"/>
      <c r="G170" s="551"/>
      <c r="H170" s="554"/>
      <c r="I170" s="554"/>
      <c r="J170" s="561"/>
      <c r="K170" s="562"/>
      <c r="L170" s="562"/>
      <c r="M170" s="563"/>
    </row>
    <row r="171" spans="1:13" ht="15" customHeight="1" x14ac:dyDescent="0.4">
      <c r="A171" s="536">
        <v>43</v>
      </c>
      <c r="B171" s="539" t="str">
        <f ca="1">IF(OFFSET(馬匹登録!$AC$7,A171,0)&lt;&gt;"",OFFSET(馬匹登録!$AC$7,A171,0),"")</f>
        <v/>
      </c>
      <c r="C171" s="542"/>
      <c r="D171" s="545"/>
      <c r="E171" s="545"/>
      <c r="F171" s="546"/>
      <c r="G171" s="547"/>
      <c r="H171" s="552"/>
      <c r="I171" s="552"/>
      <c r="J171" s="555"/>
      <c r="K171" s="556"/>
      <c r="L171" s="556"/>
      <c r="M171" s="557"/>
    </row>
    <row r="172" spans="1:13" ht="15" customHeight="1" x14ac:dyDescent="0.4">
      <c r="A172" s="537"/>
      <c r="B172" s="540"/>
      <c r="C172" s="543"/>
      <c r="D172" s="543"/>
      <c r="E172" s="543"/>
      <c r="F172" s="548"/>
      <c r="G172" s="549"/>
      <c r="H172" s="553"/>
      <c r="I172" s="553"/>
      <c r="J172" s="558"/>
      <c r="K172" s="559"/>
      <c r="L172" s="559"/>
      <c r="M172" s="560"/>
    </row>
    <row r="173" spans="1:13" ht="15" customHeight="1" x14ac:dyDescent="0.4">
      <c r="A173" s="538"/>
      <c r="B173" s="541"/>
      <c r="C173" s="544"/>
      <c r="D173" s="544"/>
      <c r="E173" s="544"/>
      <c r="F173" s="550"/>
      <c r="G173" s="551"/>
      <c r="H173" s="554"/>
      <c r="I173" s="554"/>
      <c r="J173" s="561"/>
      <c r="K173" s="562"/>
      <c r="L173" s="562"/>
      <c r="M173" s="563"/>
    </row>
    <row r="174" spans="1:13" ht="15" customHeight="1" x14ac:dyDescent="0.4">
      <c r="A174" s="536">
        <v>44</v>
      </c>
      <c r="B174" s="539" t="str">
        <f ca="1">IF(OFFSET(馬匹登録!$AC$7,A174,0)&lt;&gt;"",OFFSET(馬匹登録!$AC$7,A174,0),"")</f>
        <v/>
      </c>
      <c r="C174" s="542"/>
      <c r="D174" s="545"/>
      <c r="E174" s="545"/>
      <c r="F174" s="546"/>
      <c r="G174" s="547"/>
      <c r="H174" s="552"/>
      <c r="I174" s="552"/>
      <c r="J174" s="555"/>
      <c r="K174" s="556"/>
      <c r="L174" s="556"/>
      <c r="M174" s="557"/>
    </row>
    <row r="175" spans="1:13" ht="15" customHeight="1" x14ac:dyDescent="0.4">
      <c r="A175" s="537"/>
      <c r="B175" s="540"/>
      <c r="C175" s="543"/>
      <c r="D175" s="543"/>
      <c r="E175" s="543"/>
      <c r="F175" s="548"/>
      <c r="G175" s="549"/>
      <c r="H175" s="553"/>
      <c r="I175" s="553"/>
      <c r="J175" s="558"/>
      <c r="K175" s="559"/>
      <c r="L175" s="559"/>
      <c r="M175" s="560"/>
    </row>
    <row r="176" spans="1:13" ht="15" customHeight="1" x14ac:dyDescent="0.4">
      <c r="A176" s="538"/>
      <c r="B176" s="541"/>
      <c r="C176" s="544"/>
      <c r="D176" s="544"/>
      <c r="E176" s="544"/>
      <c r="F176" s="550"/>
      <c r="G176" s="551"/>
      <c r="H176" s="554"/>
      <c r="I176" s="554"/>
      <c r="J176" s="561"/>
      <c r="K176" s="562"/>
      <c r="L176" s="562"/>
      <c r="M176" s="563"/>
    </row>
    <row r="177" spans="1:13" ht="15" customHeight="1" x14ac:dyDescent="0.4">
      <c r="A177" s="536">
        <v>45</v>
      </c>
      <c r="B177" s="539" t="str">
        <f ca="1">IF(OFFSET(馬匹登録!$AC$7,A177,0)&lt;&gt;"",OFFSET(馬匹登録!$AC$7,A177,0),"")</f>
        <v/>
      </c>
      <c r="C177" s="542"/>
      <c r="D177" s="545"/>
      <c r="E177" s="545"/>
      <c r="F177" s="546"/>
      <c r="G177" s="547"/>
      <c r="H177" s="552"/>
      <c r="I177" s="552"/>
      <c r="J177" s="555"/>
      <c r="K177" s="556"/>
      <c r="L177" s="556"/>
      <c r="M177" s="557"/>
    </row>
    <row r="178" spans="1:13" ht="15" customHeight="1" x14ac:dyDescent="0.4">
      <c r="A178" s="537"/>
      <c r="B178" s="540"/>
      <c r="C178" s="543"/>
      <c r="D178" s="543"/>
      <c r="E178" s="543"/>
      <c r="F178" s="548"/>
      <c r="G178" s="549"/>
      <c r="H178" s="553"/>
      <c r="I178" s="553"/>
      <c r="J178" s="558"/>
      <c r="K178" s="559"/>
      <c r="L178" s="559"/>
      <c r="M178" s="560"/>
    </row>
    <row r="179" spans="1:13" ht="15" customHeight="1" x14ac:dyDescent="0.4">
      <c r="A179" s="538"/>
      <c r="B179" s="541"/>
      <c r="C179" s="544"/>
      <c r="D179" s="544"/>
      <c r="E179" s="544"/>
      <c r="F179" s="550"/>
      <c r="G179" s="551"/>
      <c r="H179" s="554"/>
      <c r="I179" s="554"/>
      <c r="J179" s="561"/>
      <c r="K179" s="562"/>
      <c r="L179" s="562"/>
      <c r="M179" s="563"/>
    </row>
    <row r="180" spans="1:13" ht="15" customHeight="1" x14ac:dyDescent="0.4">
      <c r="A180" s="536">
        <v>46</v>
      </c>
      <c r="B180" s="539" t="str">
        <f ca="1">IF(OFFSET(馬匹登録!$AC$7,A180,0)&lt;&gt;"",OFFSET(馬匹登録!$AC$7,A180,0),"")</f>
        <v/>
      </c>
      <c r="C180" s="542"/>
      <c r="D180" s="545"/>
      <c r="E180" s="545"/>
      <c r="F180" s="546"/>
      <c r="G180" s="547"/>
      <c r="H180" s="552"/>
      <c r="I180" s="552"/>
      <c r="J180" s="555"/>
      <c r="K180" s="556"/>
      <c r="L180" s="556"/>
      <c r="M180" s="557"/>
    </row>
    <row r="181" spans="1:13" ht="15" customHeight="1" x14ac:dyDescent="0.4">
      <c r="A181" s="537"/>
      <c r="B181" s="540"/>
      <c r="C181" s="543"/>
      <c r="D181" s="543"/>
      <c r="E181" s="543"/>
      <c r="F181" s="548"/>
      <c r="G181" s="549"/>
      <c r="H181" s="553"/>
      <c r="I181" s="553"/>
      <c r="J181" s="558"/>
      <c r="K181" s="559"/>
      <c r="L181" s="559"/>
      <c r="M181" s="560"/>
    </row>
    <row r="182" spans="1:13" ht="15" customHeight="1" x14ac:dyDescent="0.4">
      <c r="A182" s="538"/>
      <c r="B182" s="541"/>
      <c r="C182" s="544"/>
      <c r="D182" s="544"/>
      <c r="E182" s="544"/>
      <c r="F182" s="550"/>
      <c r="G182" s="551"/>
      <c r="H182" s="554"/>
      <c r="I182" s="554"/>
      <c r="J182" s="561"/>
      <c r="K182" s="562"/>
      <c r="L182" s="562"/>
      <c r="M182" s="563"/>
    </row>
    <row r="183" spans="1:13" ht="15" customHeight="1" x14ac:dyDescent="0.4">
      <c r="A183" s="536">
        <v>47</v>
      </c>
      <c r="B183" s="539" t="str">
        <f ca="1">IF(OFFSET(馬匹登録!$AC$7,A183,0)&lt;&gt;"",OFFSET(馬匹登録!$AC$7,A183,0),"")</f>
        <v/>
      </c>
      <c r="C183" s="542"/>
      <c r="D183" s="545"/>
      <c r="E183" s="545"/>
      <c r="F183" s="546"/>
      <c r="G183" s="547"/>
      <c r="H183" s="552"/>
      <c r="I183" s="552"/>
      <c r="J183" s="555"/>
      <c r="K183" s="556"/>
      <c r="L183" s="556"/>
      <c r="M183" s="557"/>
    </row>
    <row r="184" spans="1:13" ht="15" customHeight="1" x14ac:dyDescent="0.4">
      <c r="A184" s="537"/>
      <c r="B184" s="540"/>
      <c r="C184" s="543"/>
      <c r="D184" s="543"/>
      <c r="E184" s="543"/>
      <c r="F184" s="548"/>
      <c r="G184" s="549"/>
      <c r="H184" s="553"/>
      <c r="I184" s="553"/>
      <c r="J184" s="558"/>
      <c r="K184" s="559"/>
      <c r="L184" s="559"/>
      <c r="M184" s="560"/>
    </row>
    <row r="185" spans="1:13" ht="15" customHeight="1" x14ac:dyDescent="0.4">
      <c r="A185" s="538"/>
      <c r="B185" s="541"/>
      <c r="C185" s="544"/>
      <c r="D185" s="544"/>
      <c r="E185" s="544"/>
      <c r="F185" s="550"/>
      <c r="G185" s="551"/>
      <c r="H185" s="554"/>
      <c r="I185" s="554"/>
      <c r="J185" s="561"/>
      <c r="K185" s="562"/>
      <c r="L185" s="562"/>
      <c r="M185" s="563"/>
    </row>
    <row r="186" spans="1:13" ht="15" customHeight="1" x14ac:dyDescent="0.4">
      <c r="A186" s="536">
        <v>48</v>
      </c>
      <c r="B186" s="539" t="str">
        <f ca="1">IF(OFFSET(馬匹登録!$AC$7,A186,0)&lt;&gt;"",OFFSET(馬匹登録!$AC$7,A186,0),"")</f>
        <v/>
      </c>
      <c r="C186" s="542"/>
      <c r="D186" s="545"/>
      <c r="E186" s="545"/>
      <c r="F186" s="546"/>
      <c r="G186" s="547"/>
      <c r="H186" s="552"/>
      <c r="I186" s="552"/>
      <c r="J186" s="555"/>
      <c r="K186" s="556"/>
      <c r="L186" s="556"/>
      <c r="M186" s="557"/>
    </row>
    <row r="187" spans="1:13" ht="15" customHeight="1" x14ac:dyDescent="0.4">
      <c r="A187" s="537"/>
      <c r="B187" s="540"/>
      <c r="C187" s="543"/>
      <c r="D187" s="543"/>
      <c r="E187" s="543"/>
      <c r="F187" s="548"/>
      <c r="G187" s="549"/>
      <c r="H187" s="553"/>
      <c r="I187" s="553"/>
      <c r="J187" s="558"/>
      <c r="K187" s="559"/>
      <c r="L187" s="559"/>
      <c r="M187" s="560"/>
    </row>
    <row r="188" spans="1:13" ht="15" customHeight="1" x14ac:dyDescent="0.4">
      <c r="A188" s="538"/>
      <c r="B188" s="541"/>
      <c r="C188" s="544"/>
      <c r="D188" s="544"/>
      <c r="E188" s="544"/>
      <c r="F188" s="550"/>
      <c r="G188" s="551"/>
      <c r="H188" s="554"/>
      <c r="I188" s="554"/>
      <c r="J188" s="561"/>
      <c r="K188" s="562"/>
      <c r="L188" s="562"/>
      <c r="M188" s="563"/>
    </row>
    <row r="189" spans="1:13" ht="15" customHeight="1" x14ac:dyDescent="0.4">
      <c r="A189" s="536">
        <v>49</v>
      </c>
      <c r="B189" s="539" t="str">
        <f ca="1">IF(OFFSET(馬匹登録!$AC$7,A189,0)&lt;&gt;"",OFFSET(馬匹登録!$AC$7,A189,0),"")</f>
        <v/>
      </c>
      <c r="C189" s="542"/>
      <c r="D189" s="545"/>
      <c r="E189" s="545"/>
      <c r="F189" s="546"/>
      <c r="G189" s="547"/>
      <c r="H189" s="552"/>
      <c r="I189" s="552"/>
      <c r="J189" s="555"/>
      <c r="K189" s="556"/>
      <c r="L189" s="556"/>
      <c r="M189" s="557"/>
    </row>
    <row r="190" spans="1:13" ht="15" customHeight="1" x14ac:dyDescent="0.4">
      <c r="A190" s="537"/>
      <c r="B190" s="540"/>
      <c r="C190" s="543"/>
      <c r="D190" s="543"/>
      <c r="E190" s="543"/>
      <c r="F190" s="548"/>
      <c r="G190" s="549"/>
      <c r="H190" s="553"/>
      <c r="I190" s="553"/>
      <c r="J190" s="558"/>
      <c r="K190" s="559"/>
      <c r="L190" s="559"/>
      <c r="M190" s="560"/>
    </row>
    <row r="191" spans="1:13" ht="15" customHeight="1" x14ac:dyDescent="0.4">
      <c r="A191" s="538"/>
      <c r="B191" s="541"/>
      <c r="C191" s="544"/>
      <c r="D191" s="544"/>
      <c r="E191" s="544"/>
      <c r="F191" s="550"/>
      <c r="G191" s="551"/>
      <c r="H191" s="554"/>
      <c r="I191" s="554"/>
      <c r="J191" s="561"/>
      <c r="K191" s="562"/>
      <c r="L191" s="562"/>
      <c r="M191" s="563"/>
    </row>
    <row r="192" spans="1:13" ht="15" customHeight="1" x14ac:dyDescent="0.4">
      <c r="A192" s="536">
        <v>50</v>
      </c>
      <c r="B192" s="539" t="str">
        <f ca="1">IF(OFFSET(馬匹登録!$AC$7,A192,0)&lt;&gt;"",OFFSET(馬匹登録!$AC$7,A192,0),"")</f>
        <v/>
      </c>
      <c r="C192" s="542"/>
      <c r="D192" s="545"/>
      <c r="E192" s="545"/>
      <c r="F192" s="546"/>
      <c r="G192" s="547"/>
      <c r="H192" s="552"/>
      <c r="I192" s="552"/>
      <c r="J192" s="555"/>
      <c r="K192" s="556"/>
      <c r="L192" s="556"/>
      <c r="M192" s="557"/>
    </row>
    <row r="193" spans="1:13" ht="15" customHeight="1" x14ac:dyDescent="0.4">
      <c r="A193" s="537"/>
      <c r="B193" s="540"/>
      <c r="C193" s="543"/>
      <c r="D193" s="543"/>
      <c r="E193" s="543"/>
      <c r="F193" s="548"/>
      <c r="G193" s="549"/>
      <c r="H193" s="553"/>
      <c r="I193" s="553"/>
      <c r="J193" s="558"/>
      <c r="K193" s="559"/>
      <c r="L193" s="559"/>
      <c r="M193" s="560"/>
    </row>
    <row r="194" spans="1:13" ht="15" customHeight="1" x14ac:dyDescent="0.4">
      <c r="A194" s="538"/>
      <c r="B194" s="541"/>
      <c r="C194" s="544"/>
      <c r="D194" s="544"/>
      <c r="E194" s="544"/>
      <c r="F194" s="550"/>
      <c r="G194" s="551"/>
      <c r="H194" s="554"/>
      <c r="I194" s="554"/>
      <c r="J194" s="561"/>
      <c r="K194" s="562"/>
      <c r="L194" s="562"/>
      <c r="M194" s="563"/>
    </row>
    <row r="195" spans="1:13" ht="21" customHeight="1" x14ac:dyDescent="0.4">
      <c r="D195" s="1" t="s">
        <v>135</v>
      </c>
      <c r="E195" s="150" t="str">
        <f>$E$35</f>
        <v>2023年</v>
      </c>
      <c r="F195" s="151" t="str">
        <f>$F$35</f>
        <v>月</v>
      </c>
      <c r="G195" s="152" t="str">
        <f>$G$35</f>
        <v>日</v>
      </c>
      <c r="H195" s="153" t="s">
        <v>136</v>
      </c>
      <c r="I195" s="154" t="str">
        <f>$I$35</f>
        <v>時</v>
      </c>
    </row>
    <row r="196" spans="1:13" ht="21" customHeight="1" x14ac:dyDescent="0.4">
      <c r="D196" s="1" t="s">
        <v>138</v>
      </c>
      <c r="E196" s="150" t="str">
        <f>$E$36</f>
        <v>2023年</v>
      </c>
      <c r="F196" s="151" t="str">
        <f>$F$36</f>
        <v>月</v>
      </c>
      <c r="G196" s="152" t="str">
        <f>$G$36</f>
        <v>日</v>
      </c>
      <c r="H196" s="153" t="s">
        <v>136</v>
      </c>
      <c r="I196" s="154" t="str">
        <f>$I$36</f>
        <v>時</v>
      </c>
    </row>
    <row r="197" spans="1:13" ht="6" customHeight="1" x14ac:dyDescent="0.4"/>
    <row r="198" spans="1:13" ht="24" customHeight="1" x14ac:dyDescent="0.4">
      <c r="B198" s="49" t="s">
        <v>139</v>
      </c>
      <c r="J198" s="47" t="s">
        <v>18</v>
      </c>
      <c r="K198" s="534" t="str">
        <f>IF(団体登録!$B$7&lt;&gt;"",団体登録!$B$7,"")</f>
        <v/>
      </c>
      <c r="L198" s="534"/>
    </row>
    <row r="199" spans="1:13" ht="24" customHeight="1" x14ac:dyDescent="0.4">
      <c r="J199" s="48" t="s">
        <v>21</v>
      </c>
      <c r="K199" s="155" t="str">
        <f>IF(団体登録!$B$12&lt;&gt;"",団体登録!$B$12,"")</f>
        <v/>
      </c>
      <c r="L199" s="156" t="s">
        <v>143</v>
      </c>
    </row>
    <row r="200" spans="1:13" ht="24" customHeight="1" x14ac:dyDescent="0.4">
      <c r="J200" s="48" t="s">
        <v>140</v>
      </c>
      <c r="K200" s="535" t="str">
        <f>IF(団体登録!$B$9&lt;&gt;"",団体登録!$B$9&amp;" "&amp;団体登録!$B$10,"")</f>
        <v/>
      </c>
      <c r="L200" s="535"/>
    </row>
    <row r="201" spans="1:13" ht="24" customHeight="1" x14ac:dyDescent="0.4">
      <c r="J201" s="48" t="s">
        <v>141</v>
      </c>
      <c r="K201" s="535" t="str">
        <f>IF(団体登録!$B$11&lt;&gt;"",団体登録!$B$11,"")</f>
        <v/>
      </c>
      <c r="L201" s="535"/>
    </row>
    <row r="202" spans="1:13" ht="24" customHeight="1" x14ac:dyDescent="0.4">
      <c r="J202" s="48" t="s">
        <v>142</v>
      </c>
      <c r="K202" s="535"/>
      <c r="L202" s="535"/>
    </row>
  </sheetData>
  <sheetProtection algorithmName="SHA-512" hashValue="bqVh1AHJyfmyD3EEumhq1WbbBe1SEA/8Bi1YFwjOr4kIH6vDdgJeVMPEFfGowdidCUqt4d2DrwMLEMmCfomKTQ==" saltValue="d5qWzGYrDNQcckpH7HAfcg==" spinCount="100000" sheet="1" objects="1" scenarios="1" autoFilter="0"/>
  <mergeCells count="584">
    <mergeCell ref="F4:G4"/>
    <mergeCell ref="J4:M4"/>
    <mergeCell ref="J5:M5"/>
    <mergeCell ref="K118:L118"/>
    <mergeCell ref="K120:L120"/>
    <mergeCell ref="K121:L121"/>
    <mergeCell ref="K122:L122"/>
    <mergeCell ref="K82:L82"/>
    <mergeCell ref="A43:M43"/>
    <mergeCell ref="F44:G44"/>
    <mergeCell ref="J44:M44"/>
    <mergeCell ref="K38:L38"/>
    <mergeCell ref="K42:L42"/>
    <mergeCell ref="K41:L41"/>
    <mergeCell ref="K40:L40"/>
    <mergeCell ref="A45:A47"/>
    <mergeCell ref="B45:B47"/>
    <mergeCell ref="C45:C47"/>
    <mergeCell ref="D45:D47"/>
    <mergeCell ref="E45:E47"/>
    <mergeCell ref="A83:M83"/>
    <mergeCell ref="F84:G84"/>
    <mergeCell ref="J84:M84"/>
    <mergeCell ref="K78:L78"/>
    <mergeCell ref="K81:L81"/>
    <mergeCell ref="K80:L80"/>
    <mergeCell ref="F45:G47"/>
    <mergeCell ref="H45:H47"/>
    <mergeCell ref="I45:I47"/>
    <mergeCell ref="J45:M45"/>
    <mergeCell ref="J46:M46"/>
    <mergeCell ref="J47:M47"/>
    <mergeCell ref="F48:G50"/>
    <mergeCell ref="H48:H50"/>
    <mergeCell ref="I48:I50"/>
    <mergeCell ref="J48:M48"/>
    <mergeCell ref="J49:M49"/>
    <mergeCell ref="J50:M50"/>
    <mergeCell ref="F57:G59"/>
    <mergeCell ref="H57:H59"/>
    <mergeCell ref="I57:I59"/>
    <mergeCell ref="J57:M57"/>
    <mergeCell ref="J58:M58"/>
    <mergeCell ref="J59:M59"/>
    <mergeCell ref="F63:G65"/>
    <mergeCell ref="H63:H65"/>
    <mergeCell ref="I63:I65"/>
    <mergeCell ref="J51:M51"/>
    <mergeCell ref="J8:M8"/>
    <mergeCell ref="J9:M9"/>
    <mergeCell ref="J10:M10"/>
    <mergeCell ref="C8:C10"/>
    <mergeCell ref="D8:D10"/>
    <mergeCell ref="E8:E10"/>
    <mergeCell ref="J6:M6"/>
    <mergeCell ref="J7:M7"/>
    <mergeCell ref="A5:A7"/>
    <mergeCell ref="B5:B7"/>
    <mergeCell ref="C5:C7"/>
    <mergeCell ref="D5:D7"/>
    <mergeCell ref="E5:E7"/>
    <mergeCell ref="F5:G7"/>
    <mergeCell ref="I5:I7"/>
    <mergeCell ref="H5:H7"/>
    <mergeCell ref="J14:M14"/>
    <mergeCell ref="J15:M15"/>
    <mergeCell ref="J16:M16"/>
    <mergeCell ref="C14:C16"/>
    <mergeCell ref="D14:D16"/>
    <mergeCell ref="E14:E16"/>
    <mergeCell ref="F11:G13"/>
    <mergeCell ref="H11:H13"/>
    <mergeCell ref="I11:I13"/>
    <mergeCell ref="J11:M11"/>
    <mergeCell ref="J12:M12"/>
    <mergeCell ref="J13:M13"/>
    <mergeCell ref="C11:C13"/>
    <mergeCell ref="D11:D13"/>
    <mergeCell ref="E11:E13"/>
    <mergeCell ref="A14:A16"/>
    <mergeCell ref="B14:B16"/>
    <mergeCell ref="A11:A13"/>
    <mergeCell ref="B11:B13"/>
    <mergeCell ref="A8:A10"/>
    <mergeCell ref="B8:B10"/>
    <mergeCell ref="F14:G16"/>
    <mergeCell ref="H14:H16"/>
    <mergeCell ref="I14:I16"/>
    <mergeCell ref="F8:G10"/>
    <mergeCell ref="H8:H10"/>
    <mergeCell ref="I8:I10"/>
    <mergeCell ref="F17:G19"/>
    <mergeCell ref="H17:H19"/>
    <mergeCell ref="I17:I19"/>
    <mergeCell ref="J17:M17"/>
    <mergeCell ref="J18:M18"/>
    <mergeCell ref="J19:M19"/>
    <mergeCell ref="A17:A19"/>
    <mergeCell ref="B17:B19"/>
    <mergeCell ref="C17:C19"/>
    <mergeCell ref="D17:D19"/>
    <mergeCell ref="E17:E19"/>
    <mergeCell ref="F20:G22"/>
    <mergeCell ref="H20:H22"/>
    <mergeCell ref="I20:I22"/>
    <mergeCell ref="J20:M20"/>
    <mergeCell ref="J21:M21"/>
    <mergeCell ref="J22:M22"/>
    <mergeCell ref="A20:A22"/>
    <mergeCell ref="B20:B22"/>
    <mergeCell ref="C20:C22"/>
    <mergeCell ref="D20:D22"/>
    <mergeCell ref="E20:E22"/>
    <mergeCell ref="F23:G25"/>
    <mergeCell ref="H23:H25"/>
    <mergeCell ref="I23:I25"/>
    <mergeCell ref="J23:M23"/>
    <mergeCell ref="J24:M24"/>
    <mergeCell ref="J25:M25"/>
    <mergeCell ref="A23:A25"/>
    <mergeCell ref="B23:B25"/>
    <mergeCell ref="C23:C25"/>
    <mergeCell ref="D23:D25"/>
    <mergeCell ref="E23:E25"/>
    <mergeCell ref="F26:G28"/>
    <mergeCell ref="H26:H28"/>
    <mergeCell ref="I26:I28"/>
    <mergeCell ref="J26:M26"/>
    <mergeCell ref="J27:M27"/>
    <mergeCell ref="J28:M28"/>
    <mergeCell ref="A26:A28"/>
    <mergeCell ref="B26:B28"/>
    <mergeCell ref="C26:C28"/>
    <mergeCell ref="D26:D28"/>
    <mergeCell ref="E26:E28"/>
    <mergeCell ref="D32:D34"/>
    <mergeCell ref="E32:E34"/>
    <mergeCell ref="F29:G31"/>
    <mergeCell ref="H29:H31"/>
    <mergeCell ref="I29:I31"/>
    <mergeCell ref="J29:M29"/>
    <mergeCell ref="J30:M30"/>
    <mergeCell ref="J31:M31"/>
    <mergeCell ref="A29:A31"/>
    <mergeCell ref="B29:B31"/>
    <mergeCell ref="C29:C31"/>
    <mergeCell ref="D29:D31"/>
    <mergeCell ref="E29:E31"/>
    <mergeCell ref="J52:M52"/>
    <mergeCell ref="J53:M53"/>
    <mergeCell ref="F32:G34"/>
    <mergeCell ref="H32:H34"/>
    <mergeCell ref="I32:I34"/>
    <mergeCell ref="J32:M32"/>
    <mergeCell ref="J33:M33"/>
    <mergeCell ref="J34:M34"/>
    <mergeCell ref="A48:A50"/>
    <mergeCell ref="B48:B50"/>
    <mergeCell ref="C48:C50"/>
    <mergeCell ref="D48:D50"/>
    <mergeCell ref="E48:E50"/>
    <mergeCell ref="A51:A53"/>
    <mergeCell ref="B51:B53"/>
    <mergeCell ref="C51:C53"/>
    <mergeCell ref="D51:D53"/>
    <mergeCell ref="E51:E53"/>
    <mergeCell ref="F51:G53"/>
    <mergeCell ref="H51:H53"/>
    <mergeCell ref="I51:I53"/>
    <mergeCell ref="A32:A34"/>
    <mergeCell ref="B32:B34"/>
    <mergeCell ref="C32:C34"/>
    <mergeCell ref="F54:G56"/>
    <mergeCell ref="H54:H56"/>
    <mergeCell ref="I54:I56"/>
    <mergeCell ref="J54:M54"/>
    <mergeCell ref="J55:M55"/>
    <mergeCell ref="J56:M56"/>
    <mergeCell ref="A54:A56"/>
    <mergeCell ref="B54:B56"/>
    <mergeCell ref="C54:C56"/>
    <mergeCell ref="D54:D56"/>
    <mergeCell ref="E54:E56"/>
    <mergeCell ref="A57:A59"/>
    <mergeCell ref="B57:B59"/>
    <mergeCell ref="C57:C59"/>
    <mergeCell ref="D57:D59"/>
    <mergeCell ref="E57:E59"/>
    <mergeCell ref="F60:G62"/>
    <mergeCell ref="H60:H62"/>
    <mergeCell ref="I60:I62"/>
    <mergeCell ref="J60:M60"/>
    <mergeCell ref="J61:M61"/>
    <mergeCell ref="J62:M62"/>
    <mergeCell ref="A60:A62"/>
    <mergeCell ref="B60:B62"/>
    <mergeCell ref="C60:C62"/>
    <mergeCell ref="D60:D62"/>
    <mergeCell ref="E60:E62"/>
    <mergeCell ref="J63:M63"/>
    <mergeCell ref="J64:M64"/>
    <mergeCell ref="J65:M65"/>
    <mergeCell ref="A63:A65"/>
    <mergeCell ref="B63:B65"/>
    <mergeCell ref="C63:C65"/>
    <mergeCell ref="D63:D65"/>
    <mergeCell ref="E63:E65"/>
    <mergeCell ref="F66:G68"/>
    <mergeCell ref="H66:H68"/>
    <mergeCell ref="I66:I68"/>
    <mergeCell ref="J66:M66"/>
    <mergeCell ref="J67:M67"/>
    <mergeCell ref="J68:M68"/>
    <mergeCell ref="A66:A68"/>
    <mergeCell ref="B66:B68"/>
    <mergeCell ref="C66:C68"/>
    <mergeCell ref="D66:D68"/>
    <mergeCell ref="E66:E68"/>
    <mergeCell ref="F69:G71"/>
    <mergeCell ref="H69:H71"/>
    <mergeCell ref="I69:I71"/>
    <mergeCell ref="J69:M69"/>
    <mergeCell ref="J70:M70"/>
    <mergeCell ref="J71:M71"/>
    <mergeCell ref="A69:A71"/>
    <mergeCell ref="B69:B71"/>
    <mergeCell ref="C69:C71"/>
    <mergeCell ref="D69:D71"/>
    <mergeCell ref="E69:E71"/>
    <mergeCell ref="F72:G74"/>
    <mergeCell ref="H72:H74"/>
    <mergeCell ref="I72:I74"/>
    <mergeCell ref="J72:M72"/>
    <mergeCell ref="J73:M73"/>
    <mergeCell ref="J74:M74"/>
    <mergeCell ref="A72:A74"/>
    <mergeCell ref="B72:B74"/>
    <mergeCell ref="C72:C74"/>
    <mergeCell ref="D72:D74"/>
    <mergeCell ref="E72:E74"/>
    <mergeCell ref="F85:G87"/>
    <mergeCell ref="H85:H87"/>
    <mergeCell ref="I85:I87"/>
    <mergeCell ref="J85:M85"/>
    <mergeCell ref="J86:M86"/>
    <mergeCell ref="J87:M87"/>
    <mergeCell ref="A85:A87"/>
    <mergeCell ref="B85:B87"/>
    <mergeCell ref="C85:C87"/>
    <mergeCell ref="D85:D87"/>
    <mergeCell ref="E85:E87"/>
    <mergeCell ref="F88:G90"/>
    <mergeCell ref="H88:H90"/>
    <mergeCell ref="I88:I90"/>
    <mergeCell ref="J88:M88"/>
    <mergeCell ref="J89:M89"/>
    <mergeCell ref="J90:M90"/>
    <mergeCell ref="A88:A90"/>
    <mergeCell ref="B88:B90"/>
    <mergeCell ref="C88:C90"/>
    <mergeCell ref="D88:D90"/>
    <mergeCell ref="E88:E90"/>
    <mergeCell ref="F91:G93"/>
    <mergeCell ref="H91:H93"/>
    <mergeCell ref="I91:I93"/>
    <mergeCell ref="J91:M91"/>
    <mergeCell ref="J92:M92"/>
    <mergeCell ref="J93:M93"/>
    <mergeCell ref="A91:A93"/>
    <mergeCell ref="B91:B93"/>
    <mergeCell ref="C91:C93"/>
    <mergeCell ref="D91:D93"/>
    <mergeCell ref="E91:E93"/>
    <mergeCell ref="F94:G96"/>
    <mergeCell ref="H94:H96"/>
    <mergeCell ref="I94:I96"/>
    <mergeCell ref="J94:M94"/>
    <mergeCell ref="J95:M95"/>
    <mergeCell ref="J96:M96"/>
    <mergeCell ref="A94:A96"/>
    <mergeCell ref="B94:B96"/>
    <mergeCell ref="C94:C96"/>
    <mergeCell ref="D94:D96"/>
    <mergeCell ref="E94:E96"/>
    <mergeCell ref="F97:G99"/>
    <mergeCell ref="H97:H99"/>
    <mergeCell ref="I97:I99"/>
    <mergeCell ref="J97:M97"/>
    <mergeCell ref="J98:M98"/>
    <mergeCell ref="J99:M99"/>
    <mergeCell ref="A97:A99"/>
    <mergeCell ref="B97:B99"/>
    <mergeCell ref="C97:C99"/>
    <mergeCell ref="D97:D99"/>
    <mergeCell ref="E97:E99"/>
    <mergeCell ref="F100:G102"/>
    <mergeCell ref="H100:H102"/>
    <mergeCell ref="I100:I102"/>
    <mergeCell ref="J100:M100"/>
    <mergeCell ref="J101:M101"/>
    <mergeCell ref="J102:M102"/>
    <mergeCell ref="A100:A102"/>
    <mergeCell ref="B100:B102"/>
    <mergeCell ref="C100:C102"/>
    <mergeCell ref="D100:D102"/>
    <mergeCell ref="E100:E102"/>
    <mergeCell ref="F103:G105"/>
    <mergeCell ref="H103:H105"/>
    <mergeCell ref="I103:I105"/>
    <mergeCell ref="J103:M103"/>
    <mergeCell ref="J104:M104"/>
    <mergeCell ref="J105:M105"/>
    <mergeCell ref="A103:A105"/>
    <mergeCell ref="B103:B105"/>
    <mergeCell ref="C103:C105"/>
    <mergeCell ref="D103:D105"/>
    <mergeCell ref="E103:E105"/>
    <mergeCell ref="F106:G108"/>
    <mergeCell ref="H106:H108"/>
    <mergeCell ref="I106:I108"/>
    <mergeCell ref="J106:M106"/>
    <mergeCell ref="J107:M107"/>
    <mergeCell ref="J108:M108"/>
    <mergeCell ref="A106:A108"/>
    <mergeCell ref="B106:B108"/>
    <mergeCell ref="C106:C108"/>
    <mergeCell ref="D106:D108"/>
    <mergeCell ref="E106:E108"/>
    <mergeCell ref="F109:G111"/>
    <mergeCell ref="H109:H111"/>
    <mergeCell ref="I109:I111"/>
    <mergeCell ref="J109:M109"/>
    <mergeCell ref="J110:M110"/>
    <mergeCell ref="J111:M111"/>
    <mergeCell ref="A109:A111"/>
    <mergeCell ref="B109:B111"/>
    <mergeCell ref="C109:C111"/>
    <mergeCell ref="D109:D111"/>
    <mergeCell ref="E109:E111"/>
    <mergeCell ref="F112:G114"/>
    <mergeCell ref="H112:H114"/>
    <mergeCell ref="I112:I114"/>
    <mergeCell ref="J112:M112"/>
    <mergeCell ref="J113:M113"/>
    <mergeCell ref="J114:M114"/>
    <mergeCell ref="A112:A114"/>
    <mergeCell ref="B112:B114"/>
    <mergeCell ref="C112:C114"/>
    <mergeCell ref="D112:D114"/>
    <mergeCell ref="E112:E114"/>
    <mergeCell ref="A123:M123"/>
    <mergeCell ref="F124:G124"/>
    <mergeCell ref="J124:M124"/>
    <mergeCell ref="A125:A127"/>
    <mergeCell ref="B125:B127"/>
    <mergeCell ref="C125:C127"/>
    <mergeCell ref="D125:D127"/>
    <mergeCell ref="E125:E127"/>
    <mergeCell ref="F125:G127"/>
    <mergeCell ref="H125:H127"/>
    <mergeCell ref="I125:I127"/>
    <mergeCell ref="J125:M125"/>
    <mergeCell ref="J126:M126"/>
    <mergeCell ref="J127:M127"/>
    <mergeCell ref="A128:A130"/>
    <mergeCell ref="B128:B130"/>
    <mergeCell ref="C128:C130"/>
    <mergeCell ref="D128:D130"/>
    <mergeCell ref="E128:E130"/>
    <mergeCell ref="F128:G130"/>
    <mergeCell ref="H128:H130"/>
    <mergeCell ref="I128:I130"/>
    <mergeCell ref="J128:M128"/>
    <mergeCell ref="J129:M129"/>
    <mergeCell ref="J130:M130"/>
    <mergeCell ref="A131:A133"/>
    <mergeCell ref="B131:B133"/>
    <mergeCell ref="C131:C133"/>
    <mergeCell ref="D131:D133"/>
    <mergeCell ref="E131:E133"/>
    <mergeCell ref="F131:G133"/>
    <mergeCell ref="H131:H133"/>
    <mergeCell ref="I131:I133"/>
    <mergeCell ref="J131:M131"/>
    <mergeCell ref="J132:M132"/>
    <mergeCell ref="J133:M133"/>
    <mergeCell ref="A134:A136"/>
    <mergeCell ref="B134:B136"/>
    <mergeCell ref="C134:C136"/>
    <mergeCell ref="D134:D136"/>
    <mergeCell ref="E134:E136"/>
    <mergeCell ref="F134:G136"/>
    <mergeCell ref="H134:H136"/>
    <mergeCell ref="I134:I136"/>
    <mergeCell ref="J134:M134"/>
    <mergeCell ref="J135:M135"/>
    <mergeCell ref="J136:M136"/>
    <mergeCell ref="A137:A139"/>
    <mergeCell ref="B137:B139"/>
    <mergeCell ref="C137:C139"/>
    <mergeCell ref="D137:D139"/>
    <mergeCell ref="E137:E139"/>
    <mergeCell ref="F137:G139"/>
    <mergeCell ref="H137:H139"/>
    <mergeCell ref="I137:I139"/>
    <mergeCell ref="J137:M137"/>
    <mergeCell ref="J138:M138"/>
    <mergeCell ref="J139:M139"/>
    <mergeCell ref="A140:A142"/>
    <mergeCell ref="B140:B142"/>
    <mergeCell ref="C140:C142"/>
    <mergeCell ref="D140:D142"/>
    <mergeCell ref="E140:E142"/>
    <mergeCell ref="F140:G142"/>
    <mergeCell ref="H140:H142"/>
    <mergeCell ref="I140:I142"/>
    <mergeCell ref="J140:M140"/>
    <mergeCell ref="J141:M141"/>
    <mergeCell ref="J142:M142"/>
    <mergeCell ref="A143:A145"/>
    <mergeCell ref="B143:B145"/>
    <mergeCell ref="C143:C145"/>
    <mergeCell ref="D143:D145"/>
    <mergeCell ref="E143:E145"/>
    <mergeCell ref="F143:G145"/>
    <mergeCell ref="H143:H145"/>
    <mergeCell ref="I143:I145"/>
    <mergeCell ref="J143:M143"/>
    <mergeCell ref="J144:M144"/>
    <mergeCell ref="J145:M145"/>
    <mergeCell ref="A146:A148"/>
    <mergeCell ref="B146:B148"/>
    <mergeCell ref="C146:C148"/>
    <mergeCell ref="D146:D148"/>
    <mergeCell ref="E146:E148"/>
    <mergeCell ref="F146:G148"/>
    <mergeCell ref="H146:H148"/>
    <mergeCell ref="I146:I148"/>
    <mergeCell ref="J146:M146"/>
    <mergeCell ref="J147:M147"/>
    <mergeCell ref="J148:M148"/>
    <mergeCell ref="A149:A151"/>
    <mergeCell ref="B149:B151"/>
    <mergeCell ref="C149:C151"/>
    <mergeCell ref="D149:D151"/>
    <mergeCell ref="E149:E151"/>
    <mergeCell ref="F149:G151"/>
    <mergeCell ref="H149:H151"/>
    <mergeCell ref="I149:I151"/>
    <mergeCell ref="J149:M149"/>
    <mergeCell ref="J150:M150"/>
    <mergeCell ref="J151:M151"/>
    <mergeCell ref="A152:A154"/>
    <mergeCell ref="B152:B154"/>
    <mergeCell ref="C152:C154"/>
    <mergeCell ref="D152:D154"/>
    <mergeCell ref="E152:E154"/>
    <mergeCell ref="F152:G154"/>
    <mergeCell ref="H152:H154"/>
    <mergeCell ref="I152:I154"/>
    <mergeCell ref="J152:M152"/>
    <mergeCell ref="J153:M153"/>
    <mergeCell ref="J154:M154"/>
    <mergeCell ref="K158:L158"/>
    <mergeCell ref="K160:L160"/>
    <mergeCell ref="K161:L161"/>
    <mergeCell ref="K162:L162"/>
    <mergeCell ref="A163:M163"/>
    <mergeCell ref="F164:G164"/>
    <mergeCell ref="J164:M164"/>
    <mergeCell ref="A165:A167"/>
    <mergeCell ref="B165:B167"/>
    <mergeCell ref="C165:C167"/>
    <mergeCell ref="D165:D167"/>
    <mergeCell ref="E165:E167"/>
    <mergeCell ref="F165:G167"/>
    <mergeCell ref="H165:H167"/>
    <mergeCell ref="I165:I167"/>
    <mergeCell ref="J165:M165"/>
    <mergeCell ref="J166:M166"/>
    <mergeCell ref="J167:M167"/>
    <mergeCell ref="A168:A170"/>
    <mergeCell ref="B168:B170"/>
    <mergeCell ref="C168:C170"/>
    <mergeCell ref="D168:D170"/>
    <mergeCell ref="E168:E170"/>
    <mergeCell ref="F168:G170"/>
    <mergeCell ref="H168:H170"/>
    <mergeCell ref="I168:I170"/>
    <mergeCell ref="J168:M168"/>
    <mergeCell ref="J169:M169"/>
    <mergeCell ref="J170:M170"/>
    <mergeCell ref="A171:A173"/>
    <mergeCell ref="B171:B173"/>
    <mergeCell ref="C171:C173"/>
    <mergeCell ref="D171:D173"/>
    <mergeCell ref="E171:E173"/>
    <mergeCell ref="F171:G173"/>
    <mergeCell ref="H171:H173"/>
    <mergeCell ref="I171:I173"/>
    <mergeCell ref="J171:M171"/>
    <mergeCell ref="J172:M172"/>
    <mergeCell ref="J173:M173"/>
    <mergeCell ref="A174:A176"/>
    <mergeCell ref="B174:B176"/>
    <mergeCell ref="C174:C176"/>
    <mergeCell ref="D174:D176"/>
    <mergeCell ref="E174:E176"/>
    <mergeCell ref="F174:G176"/>
    <mergeCell ref="H174:H176"/>
    <mergeCell ref="I174:I176"/>
    <mergeCell ref="J174:M174"/>
    <mergeCell ref="J175:M175"/>
    <mergeCell ref="J176:M176"/>
    <mergeCell ref="A177:A179"/>
    <mergeCell ref="B177:B179"/>
    <mergeCell ref="C177:C179"/>
    <mergeCell ref="D177:D179"/>
    <mergeCell ref="E177:E179"/>
    <mergeCell ref="F177:G179"/>
    <mergeCell ref="H177:H179"/>
    <mergeCell ref="I177:I179"/>
    <mergeCell ref="J177:M177"/>
    <mergeCell ref="J178:M178"/>
    <mergeCell ref="J179:M179"/>
    <mergeCell ref="A180:A182"/>
    <mergeCell ref="B180:B182"/>
    <mergeCell ref="C180:C182"/>
    <mergeCell ref="D180:D182"/>
    <mergeCell ref="E180:E182"/>
    <mergeCell ref="F180:G182"/>
    <mergeCell ref="H180:H182"/>
    <mergeCell ref="I180:I182"/>
    <mergeCell ref="J180:M180"/>
    <mergeCell ref="J181:M181"/>
    <mergeCell ref="J182:M182"/>
    <mergeCell ref="A183:A185"/>
    <mergeCell ref="B183:B185"/>
    <mergeCell ref="C183:C185"/>
    <mergeCell ref="D183:D185"/>
    <mergeCell ref="E183:E185"/>
    <mergeCell ref="F183:G185"/>
    <mergeCell ref="H183:H185"/>
    <mergeCell ref="I183:I185"/>
    <mergeCell ref="J183:M183"/>
    <mergeCell ref="J184:M184"/>
    <mergeCell ref="J185:M185"/>
    <mergeCell ref="A186:A188"/>
    <mergeCell ref="B186:B188"/>
    <mergeCell ref="C186:C188"/>
    <mergeCell ref="D186:D188"/>
    <mergeCell ref="E186:E188"/>
    <mergeCell ref="F186:G188"/>
    <mergeCell ref="H186:H188"/>
    <mergeCell ref="I186:I188"/>
    <mergeCell ref="J186:M186"/>
    <mergeCell ref="J187:M187"/>
    <mergeCell ref="J188:M188"/>
    <mergeCell ref="A189:A191"/>
    <mergeCell ref="B189:B191"/>
    <mergeCell ref="C189:C191"/>
    <mergeCell ref="D189:D191"/>
    <mergeCell ref="E189:E191"/>
    <mergeCell ref="F189:G191"/>
    <mergeCell ref="H189:H191"/>
    <mergeCell ref="I189:I191"/>
    <mergeCell ref="J189:M189"/>
    <mergeCell ref="J190:M190"/>
    <mergeCell ref="J191:M191"/>
    <mergeCell ref="K198:L198"/>
    <mergeCell ref="K200:L200"/>
    <mergeCell ref="K201:L201"/>
    <mergeCell ref="K202:L202"/>
    <mergeCell ref="A192:A194"/>
    <mergeCell ref="B192:B194"/>
    <mergeCell ref="C192:C194"/>
    <mergeCell ref="D192:D194"/>
    <mergeCell ref="E192:E194"/>
    <mergeCell ref="F192:G194"/>
    <mergeCell ref="H192:H194"/>
    <mergeCell ref="I192:I194"/>
    <mergeCell ref="J192:M192"/>
    <mergeCell ref="J193:M193"/>
    <mergeCell ref="J194:M194"/>
  </mergeCells>
  <phoneticPr fontId="4"/>
  <dataValidations count="3">
    <dataValidation type="list" allowBlank="1" showInputMessage="1" sqref="C32 C5 C8 C11 C14 C17 C165 C23 C26 C29 C72 C48 C51 C54 C57 C60 C63 C66 C69 C45 C112 C88 C91 C94 C97 C100 C103 C106 C109 C85 C152 C128 C131 C134 C137 C140 C143 C146 C149 C125 C192 C168 C171 C174 C177 C180 C20 C186 C189 C183">
      <formula1>"牡,牝,騙,"</formula1>
    </dataValidation>
    <dataValidation type="list" allowBlank="1" showInputMessage="1" sqref="D32 D5 D8 D11 D14 D17 D165 D23 D26 D29 D72 D48 D51 D54 D57 D60 D63 D66 D69 D45 D112 D88 D91 D94 D97 D100 D103 D106 D109 D85 D152 D128 D131 D134 D137 D140 D143 D146 D149 D125 D192 D168 D171 D174 D177 D180 D20 D186 D189 D183">
      <formula1>"鹿毛,黒鹿毛,青鹿毛,青毛,芦毛,栗毛,栃栗毛,白毛,佐目毛,河原毛,月毛,粕毛,薄墨毛,駁毛,尾花栗毛,シャンパン,シルバーダップル,パール"</formula1>
    </dataValidation>
    <dataValidation type="list" allowBlank="1" showInputMessage="1" sqref="H35:H36">
      <formula1>"AM・PM,AM,PM"</formula1>
    </dataValidation>
  </dataValidations>
  <printOptions horizontalCentered="1"/>
  <pageMargins left="0.39370078740157483" right="0.39370078740157483" top="0.39370078740157483" bottom="0.39370078740157483" header="0.31496062992125984" footer="0.31496062992125984"/>
  <pageSetup paperSize="9" scale="75" orientation="landscape" r:id="rId1"/>
  <rowBreaks count="4" manualBreakCount="4">
    <brk id="42" max="16383" man="1"/>
    <brk id="82" max="16383" man="1"/>
    <brk id="122" max="12" man="1"/>
    <brk id="16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030A0"/>
  </sheetPr>
  <dimension ref="A1:H30"/>
  <sheetViews>
    <sheetView view="pageBreakPreview" zoomScale="110" zoomScaleNormal="100" zoomScaleSheetLayoutView="110" workbookViewId="0">
      <selection activeCell="A6" sqref="A6"/>
    </sheetView>
  </sheetViews>
  <sheetFormatPr defaultRowHeight="18.75" x14ac:dyDescent="0.4"/>
  <cols>
    <col min="5" max="5" width="14.75" bestFit="1" customWidth="1"/>
  </cols>
  <sheetData>
    <row r="1" spans="1:8" s="46" customFormat="1" ht="24" customHeight="1" x14ac:dyDescent="0.4">
      <c r="A1" s="160" t="s">
        <v>294</v>
      </c>
    </row>
    <row r="2" spans="1:8" x14ac:dyDescent="0.4">
      <c r="A2" t="s">
        <v>267</v>
      </c>
    </row>
    <row r="3" spans="1:8" x14ac:dyDescent="0.4">
      <c r="A3" t="str">
        <f>A28</f>
        <v>* 印刷して、日付、選手名、保護者名(自署)を記入し、捺印してください。エントリー後、日本社会人団体馬術連盟 事務局まで郵送、または大会本部・打ち合わせ会 会場で提出してください。</v>
      </c>
    </row>
    <row r="4" spans="1:8" x14ac:dyDescent="0.4">
      <c r="A4" t="str">
        <f>A29</f>
        <v>* 万一、未成年の選手が落馬し、保護者が不在で、委任状の提出がない場合、その後、大会期間中、再騎乗は認められません。その後の競技へのエントリーがある場合は、棄権扱いとなります。</v>
      </c>
    </row>
    <row r="5" spans="1:8" x14ac:dyDescent="0.4">
      <c r="A5" t="str">
        <f>A30</f>
        <v>* 落馬は競技中・競技場内に限りません。大会期間中の、競技場・準備運動場・通路等、御殿場市馬術・スポーツセンター敷地内でのすべての落馬に適用されます。</v>
      </c>
    </row>
    <row r="9" spans="1:8" ht="26.25" customHeight="1" x14ac:dyDescent="0.4">
      <c r="A9" s="267" t="s">
        <v>260</v>
      </c>
      <c r="B9" s="267"/>
      <c r="C9" s="267"/>
      <c r="D9" s="267"/>
      <c r="E9" s="267"/>
      <c r="F9" s="267"/>
      <c r="G9" s="267"/>
      <c r="H9" s="267"/>
    </row>
    <row r="10" spans="1:8" x14ac:dyDescent="0.4">
      <c r="A10" s="291" t="s">
        <v>309</v>
      </c>
      <c r="B10" s="292"/>
      <c r="C10" s="292"/>
      <c r="D10" s="292"/>
      <c r="E10" s="292"/>
      <c r="F10" s="292"/>
      <c r="G10" s="292"/>
      <c r="H10" s="292"/>
    </row>
    <row r="11" spans="1:8" ht="19.5" customHeight="1" x14ac:dyDescent="0.4">
      <c r="A11" s="157"/>
      <c r="B11" s="157"/>
      <c r="C11" s="157"/>
      <c r="D11" s="157"/>
      <c r="E11" s="157"/>
      <c r="F11" s="157"/>
      <c r="G11" s="157"/>
      <c r="H11" s="157"/>
    </row>
    <row r="12" spans="1:8" ht="26.25" customHeight="1" x14ac:dyDescent="0.4">
      <c r="F12" s="293" t="str">
        <f>マスタ!E6</f>
        <v>2023年</v>
      </c>
      <c r="G12" s="159" t="s">
        <v>262</v>
      </c>
      <c r="H12" s="159" t="s">
        <v>263</v>
      </c>
    </row>
    <row r="13" spans="1:8" ht="26.25" customHeight="1" x14ac:dyDescent="0.4">
      <c r="A13" s="49" t="str">
        <f>"第"&amp;マスタ!C4&amp;"回 キャロットステークス"</f>
        <v>第44回 キャロットステークス</v>
      </c>
      <c r="F13" s="1"/>
      <c r="G13" s="1"/>
      <c r="H13" s="1"/>
    </row>
    <row r="14" spans="1:8" s="46" customFormat="1" ht="26.25" customHeight="1" x14ac:dyDescent="0.4">
      <c r="A14" s="569" t="s">
        <v>261</v>
      </c>
      <c r="B14" s="570"/>
    </row>
    <row r="15" spans="1:8" s="46" customFormat="1" ht="26.25" customHeight="1" x14ac:dyDescent="0.4">
      <c r="A15" s="49"/>
    </row>
    <row r="16" spans="1:8" s="46" customFormat="1" ht="26.25" customHeight="1" x14ac:dyDescent="0.4">
      <c r="A16" s="49"/>
      <c r="E16" s="23" t="s">
        <v>266</v>
      </c>
      <c r="F16" s="573"/>
      <c r="G16" s="573"/>
      <c r="H16" s="573"/>
    </row>
    <row r="17" spans="1:8" s="46" customFormat="1" ht="26.25" customHeight="1" x14ac:dyDescent="0.4">
      <c r="A17" s="49"/>
      <c r="E17" s="23" t="s">
        <v>264</v>
      </c>
      <c r="F17" s="574"/>
      <c r="G17" s="574"/>
      <c r="H17" s="574"/>
    </row>
    <row r="18" spans="1:8" s="46" customFormat="1" ht="26.25" customHeight="1" x14ac:dyDescent="0.4">
      <c r="A18" s="49"/>
      <c r="E18" s="23" t="s">
        <v>265</v>
      </c>
      <c r="F18" s="575"/>
      <c r="G18" s="575"/>
      <c r="H18" s="346" t="s">
        <v>276</v>
      </c>
    </row>
    <row r="19" spans="1:8" ht="26.25" customHeight="1" x14ac:dyDescent="0.4"/>
    <row r="20" spans="1:8" x14ac:dyDescent="0.4">
      <c r="A20" s="572" t="s">
        <v>271</v>
      </c>
      <c r="B20" s="572"/>
      <c r="C20" s="572"/>
      <c r="D20" s="572"/>
      <c r="E20" s="572"/>
      <c r="F20" s="572"/>
      <c r="G20" s="572"/>
      <c r="H20" s="572"/>
    </row>
    <row r="21" spans="1:8" x14ac:dyDescent="0.4">
      <c r="A21" s="572"/>
      <c r="B21" s="572"/>
      <c r="C21" s="572"/>
      <c r="D21" s="572"/>
      <c r="E21" s="572"/>
      <c r="F21" s="572"/>
      <c r="G21" s="572"/>
      <c r="H21" s="572"/>
    </row>
    <row r="22" spans="1:8" ht="19.5" customHeight="1" x14ac:dyDescent="0.4">
      <c r="A22" s="572"/>
      <c r="B22" s="572"/>
      <c r="C22" s="572"/>
      <c r="D22" s="572"/>
      <c r="E22" s="572"/>
      <c r="F22" s="572"/>
      <c r="G22" s="572"/>
      <c r="H22" s="572"/>
    </row>
    <row r="23" spans="1:8" ht="19.5" customHeight="1" x14ac:dyDescent="0.4">
      <c r="A23" s="572"/>
      <c r="B23" s="572"/>
      <c r="C23" s="572"/>
      <c r="D23" s="572"/>
      <c r="E23" s="572"/>
      <c r="F23" s="572"/>
      <c r="G23" s="572"/>
      <c r="H23" s="572"/>
    </row>
    <row r="24" spans="1:8" ht="19.5" customHeight="1" x14ac:dyDescent="0.4">
      <c r="A24" s="158"/>
      <c r="B24" s="158"/>
      <c r="C24" s="158"/>
      <c r="D24" s="158"/>
      <c r="E24" s="158"/>
      <c r="F24" s="158"/>
      <c r="G24" s="158"/>
      <c r="H24" s="158"/>
    </row>
    <row r="25" spans="1:8" ht="19.5" customHeight="1" x14ac:dyDescent="0.4">
      <c r="A25" s="158"/>
      <c r="B25" s="158"/>
      <c r="C25" s="158"/>
      <c r="D25" s="158"/>
      <c r="E25" s="158"/>
      <c r="F25" s="158"/>
      <c r="G25" s="158"/>
      <c r="H25" s="158"/>
    </row>
    <row r="26" spans="1:8" ht="19.5" customHeight="1" x14ac:dyDescent="0.4">
      <c r="A26" s="158"/>
      <c r="B26" s="158"/>
      <c r="C26" s="158"/>
      <c r="D26" s="158"/>
      <c r="E26" s="158"/>
      <c r="F26" s="158"/>
      <c r="G26" s="158"/>
      <c r="H26" s="158"/>
    </row>
    <row r="27" spans="1:8" ht="26.25" customHeight="1" x14ac:dyDescent="0.4"/>
    <row r="28" spans="1:8" ht="39.75" customHeight="1" x14ac:dyDescent="0.4">
      <c r="A28" s="571" t="s">
        <v>318</v>
      </c>
      <c r="B28" s="571"/>
      <c r="C28" s="571"/>
      <c r="D28" s="571"/>
      <c r="E28" s="571"/>
      <c r="F28" s="571"/>
      <c r="G28" s="571"/>
      <c r="H28" s="571"/>
    </row>
    <row r="29" spans="1:8" ht="42" customHeight="1" x14ac:dyDescent="0.4">
      <c r="A29" s="571" t="s">
        <v>290</v>
      </c>
      <c r="B29" s="571"/>
      <c r="C29" s="571"/>
      <c r="D29" s="571"/>
      <c r="E29" s="571"/>
      <c r="F29" s="571"/>
      <c r="G29" s="571"/>
      <c r="H29" s="571"/>
    </row>
    <row r="30" spans="1:8" ht="36.75" customHeight="1" x14ac:dyDescent="0.4">
      <c r="A30" s="449" t="s">
        <v>317</v>
      </c>
      <c r="B30" s="449"/>
      <c r="C30" s="449"/>
      <c r="D30" s="449"/>
      <c r="E30" s="449"/>
      <c r="F30" s="449"/>
      <c r="G30" s="449"/>
      <c r="H30" s="449"/>
    </row>
  </sheetData>
  <sheetProtection algorithmName="SHA-512" hashValue="gHOYcTmp+a/DTuSSZmUz8t4oWIwdXlbXc6L4EZILaonHAri/e4+nbMIxcqiQn0VC0gMJ91/blu0L8wuBXOKWyQ==" saltValue="EVGmSHl//R4wWrKkrQn2Iw==" spinCount="100000" sheet="1" objects="1" scenarios="1" autoFilter="0"/>
  <mergeCells count="8">
    <mergeCell ref="A14:B14"/>
    <mergeCell ref="A28:H28"/>
    <mergeCell ref="A29:H29"/>
    <mergeCell ref="A30:H30"/>
    <mergeCell ref="A20:H23"/>
    <mergeCell ref="F16:H16"/>
    <mergeCell ref="F17:H17"/>
    <mergeCell ref="F18:G18"/>
  </mergeCells>
  <phoneticPr fontId="4"/>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vt:i4>
      </vt:variant>
    </vt:vector>
  </HeadingPairs>
  <TitlesOfParts>
    <vt:vector size="32" baseType="lpstr">
      <vt:lpstr>お知らせ・記入要領</vt:lpstr>
      <vt:lpstr>競技一覧</vt:lpstr>
      <vt:lpstr>団体登録</vt:lpstr>
      <vt:lpstr>選手登録</vt:lpstr>
      <vt:lpstr>馬匹登録</vt:lpstr>
      <vt:lpstr>エントリー</vt:lpstr>
      <vt:lpstr>馬管理者棟</vt:lpstr>
      <vt:lpstr>入厩届</vt:lpstr>
      <vt:lpstr>委任状</vt:lpstr>
      <vt:lpstr>委任状 (団体)</vt:lpstr>
      <vt:lpstr>マスタ</vt:lpstr>
      <vt:lpstr>リスト</vt:lpstr>
      <vt:lpstr>変更申込み</vt:lpstr>
      <vt:lpstr>ISO3166-1</vt:lpstr>
      <vt:lpstr>エントリー!Print_Area</vt:lpstr>
      <vt:lpstr>お知らせ・記入要領!Print_Area</vt:lpstr>
      <vt:lpstr>マスタ!Print_Area</vt:lpstr>
      <vt:lpstr>リスト!Print_Area</vt:lpstr>
      <vt:lpstr>委任状!Print_Area</vt:lpstr>
      <vt:lpstr>'委任状 (団体)'!Print_Area</vt:lpstr>
      <vt:lpstr>競技一覧!Print_Area</vt:lpstr>
      <vt:lpstr>選手登録!Print_Area</vt:lpstr>
      <vt:lpstr>団体登録!Print_Area</vt:lpstr>
      <vt:lpstr>入厩届!Print_Area</vt:lpstr>
      <vt:lpstr>馬管理者棟!Print_Area</vt:lpstr>
      <vt:lpstr>馬匹登録!Print_Area</vt:lpstr>
      <vt:lpstr>変更申込み!Print_Area</vt:lpstr>
      <vt:lpstr>エントリー!Print_Titles</vt:lpstr>
      <vt:lpstr>競技一覧!Print_Titles</vt:lpstr>
      <vt:lpstr>選手登録!Print_Titles</vt:lpstr>
      <vt:lpstr>馬匹登録!Print_Titles</vt:lpstr>
      <vt:lpstr>変更申込み!Print_Titles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キャロットステークス エントリーフォーム</dc:title>
  <dc:creator>日本社会人団体馬術連盟</dc:creator>
  <cp:lastModifiedBy>ota-y</cp:lastModifiedBy>
  <cp:lastPrinted>2022-06-26T22:54:04Z</cp:lastPrinted>
  <dcterms:created xsi:type="dcterms:W3CDTF">2015-06-05T18:17:20Z</dcterms:created>
  <dcterms:modified xsi:type="dcterms:W3CDTF">2023-07-13T07:02:53Z</dcterms:modified>
</cp:coreProperties>
</file>